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Work-0\2026.04.13\"/>
    </mc:Choice>
  </mc:AlternateContent>
  <xr:revisionPtr revIDLastSave="0" documentId="13_ncr:1_{396A61E7-BEE6-4AFE-9589-89183928665F}" xr6:coauthVersionLast="47" xr6:coauthVersionMax="47" xr10:uidLastSave="{00000000-0000-0000-0000-000000000000}"/>
  <bookViews>
    <workbookView xWindow="-110" yWindow="-110" windowWidth="25820" windowHeight="13900" xr2:uid="{18E88706-AEEA-4985-8C3B-EC1018E1CF1B}"/>
  </bookViews>
  <sheets>
    <sheet name="Ducts and Cyclones" sheetId="5" r:id="rId1"/>
    <sheet name="Heat Exchanger" sheetId="6" r:id="rId2"/>
    <sheet name="Tank" sheetId="1" r:id="rId3"/>
    <sheet name="Pipe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6" l="1"/>
  <c r="K7" i="6"/>
  <c r="L7" i="6"/>
  <c r="L5" i="6"/>
  <c r="K5" i="6"/>
  <c r="J3" i="7"/>
  <c r="J6" i="7"/>
  <c r="I6" i="7"/>
  <c r="H6" i="7"/>
  <c r="J5" i="7"/>
  <c r="I5" i="7"/>
  <c r="H5" i="7"/>
  <c r="J4" i="7"/>
  <c r="I4" i="7"/>
  <c r="H4" i="7"/>
  <c r="J8" i="7"/>
  <c r="I8" i="7"/>
  <c r="H8" i="7"/>
  <c r="J7" i="7"/>
  <c r="I7" i="7"/>
  <c r="H7" i="7"/>
  <c r="J10" i="7"/>
  <c r="I10" i="7"/>
  <c r="H10" i="7"/>
  <c r="I3" i="7" l="1"/>
  <c r="H3" i="7"/>
  <c r="J9" i="7" l="1"/>
  <c r="J11" i="7" s="1"/>
  <c r="I9" i="7"/>
  <c r="I11" i="7" s="1"/>
  <c r="H9" i="7"/>
  <c r="H11" i="7" s="1"/>
  <c r="J42" i="5"/>
  <c r="K42" i="5"/>
  <c r="L42" i="5"/>
  <c r="L40" i="5"/>
  <c r="K40" i="5"/>
  <c r="J40" i="5"/>
  <c r="L41" i="5"/>
  <c r="K41" i="5"/>
  <c r="J41" i="5"/>
  <c r="L39" i="5"/>
  <c r="K39" i="5"/>
  <c r="J39" i="5"/>
  <c r="L38" i="5"/>
  <c r="K38" i="5"/>
  <c r="J38" i="5"/>
  <c r="L37" i="5"/>
  <c r="K37" i="5"/>
  <c r="J37" i="5"/>
  <c r="L4" i="6"/>
  <c r="K4" i="6"/>
  <c r="J4" i="6"/>
  <c r="L3" i="6"/>
  <c r="K3" i="6"/>
  <c r="J3" i="6"/>
  <c r="L36" i="5" l="1"/>
  <c r="K36" i="5"/>
  <c r="J36" i="5"/>
  <c r="L35" i="5"/>
  <c r="K35" i="5"/>
  <c r="J35" i="5"/>
  <c r="L34" i="5"/>
  <c r="K34" i="5"/>
  <c r="J34" i="5"/>
  <c r="L33" i="5"/>
  <c r="K33" i="5"/>
  <c r="J33" i="5"/>
  <c r="L32" i="5"/>
  <c r="K32" i="5"/>
  <c r="J32" i="5"/>
  <c r="E31" i="5"/>
  <c r="L31" i="5" s="1"/>
  <c r="K31" i="5" l="1"/>
  <c r="J31" i="5"/>
  <c r="L30" i="5"/>
  <c r="K30" i="5"/>
  <c r="J30" i="5"/>
  <c r="E29" i="5"/>
  <c r="L29" i="5" s="1"/>
  <c r="L28" i="5"/>
  <c r="K28" i="5"/>
  <c r="J28" i="5"/>
  <c r="L27" i="5"/>
  <c r="K27" i="5"/>
  <c r="J27" i="5"/>
  <c r="L26" i="5"/>
  <c r="K26" i="5"/>
  <c r="J26" i="5"/>
  <c r="L25" i="5"/>
  <c r="K25" i="5"/>
  <c r="J25" i="5"/>
  <c r="L24" i="5"/>
  <c r="K24" i="5"/>
  <c r="J24" i="5"/>
  <c r="L23" i="5"/>
  <c r="K23" i="5"/>
  <c r="J23" i="5"/>
  <c r="L22" i="5"/>
  <c r="K22" i="5"/>
  <c r="J22" i="5"/>
  <c r="L21" i="5"/>
  <c r="K21" i="5"/>
  <c r="J21" i="5"/>
  <c r="G6" i="5"/>
  <c r="E6" i="5"/>
  <c r="E20" i="5"/>
  <c r="L20" i="5"/>
  <c r="K20" i="5"/>
  <c r="J20" i="5"/>
  <c r="L19" i="5"/>
  <c r="K19" i="5"/>
  <c r="J19" i="5"/>
  <c r="J3" i="5"/>
  <c r="L18" i="5"/>
  <c r="K18" i="5"/>
  <c r="J18" i="5"/>
  <c r="L17" i="5"/>
  <c r="K17" i="5"/>
  <c r="J17" i="5"/>
  <c r="L16" i="5"/>
  <c r="K16" i="5"/>
  <c r="J16" i="5"/>
  <c r="L15" i="5"/>
  <c r="K15" i="5"/>
  <c r="J15" i="5"/>
  <c r="L14" i="5"/>
  <c r="K14" i="5"/>
  <c r="J14" i="5"/>
  <c r="L12" i="5"/>
  <c r="K12" i="5"/>
  <c r="J12" i="5"/>
  <c r="L10" i="5"/>
  <c r="K10" i="5"/>
  <c r="J10" i="5"/>
  <c r="L13" i="5"/>
  <c r="K13" i="5"/>
  <c r="J13" i="5"/>
  <c r="L11" i="5"/>
  <c r="K11" i="5"/>
  <c r="J11" i="5"/>
  <c r="K29" i="5" l="1"/>
  <c r="J29" i="5"/>
  <c r="L7" i="5"/>
  <c r="L9" i="5"/>
  <c r="K9" i="5"/>
  <c r="J9" i="5"/>
  <c r="L8" i="5"/>
  <c r="K8" i="5"/>
  <c r="J8" i="5"/>
  <c r="K7" i="5"/>
  <c r="J7" i="5"/>
  <c r="L6" i="5"/>
  <c r="K6" i="5"/>
  <c r="J6" i="5"/>
  <c r="L5" i="5"/>
  <c r="K5" i="5"/>
  <c r="J5" i="5"/>
  <c r="K4" i="5"/>
  <c r="L4" i="5"/>
  <c r="J4" i="5"/>
  <c r="L3" i="5"/>
  <c r="K3" i="5"/>
  <c r="G3" i="1" l="1"/>
  <c r="F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LEGION</author>
  </authors>
  <commentList>
    <comment ref="J22" authorId="0" shapeId="0" xr:uid="{D127D237-873D-4830-A3F3-77B6B9F4EB42}">
      <text>
        <r>
          <rPr>
            <i/>
            <sz val="9"/>
            <color indexed="81"/>
            <rFont val="Tahoma"/>
            <family val="2"/>
          </rPr>
          <t>lateral area from AutoCAD</t>
        </r>
      </text>
    </comment>
    <comment ref="J23" authorId="0" shapeId="0" xr:uid="{516EFA57-9651-4C1D-99DD-4BC679ABEB7E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  <comment ref="J26" authorId="0" shapeId="0" xr:uid="{D564ABAD-0F38-4497-8C8D-B3FCAB80DB97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  <comment ref="J28" authorId="0" shapeId="0" xr:uid="{17FC82BA-42FA-4801-B225-B386EAA3E3F6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LEGION</author>
  </authors>
  <commentList>
    <comment ref="J3" authorId="0" shapeId="0" xr:uid="{05E449DD-AA58-4E2F-81F2-4A15D997C299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  <comment ref="J4" authorId="0" shapeId="0" xr:uid="{D9241C28-B5AC-44D6-BFD9-4422D3FC5CE2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  <comment ref="J5" authorId="0" shapeId="0" xr:uid="{86B3016B-9791-4B55-B039-8272FCE4A64A}">
      <text>
        <r>
          <rPr>
            <i/>
            <sz val="9"/>
            <color indexed="81"/>
            <rFont val="Tahoma"/>
            <family val="2"/>
          </rPr>
          <t>area from AutoCAD</t>
        </r>
      </text>
    </comment>
  </commentList>
</comments>
</file>

<file path=xl/sharedStrings.xml><?xml version="1.0" encoding="utf-8"?>
<sst xmlns="http://schemas.openxmlformats.org/spreadsheetml/2006/main" count="218" uniqueCount="78">
  <si>
    <t>R1:</t>
  </si>
  <si>
    <t>R2:</t>
  </si>
  <si>
    <t>W:</t>
  </si>
  <si>
    <t>R:</t>
  </si>
  <si>
    <t>W1:</t>
  </si>
  <si>
    <t>W2:</t>
  </si>
  <si>
    <t>L:</t>
  </si>
  <si>
    <t>PARTS</t>
  </si>
  <si>
    <t>DUCT DIMENSIONS
(mm)</t>
  </si>
  <si>
    <t>INSULATION THICKNESS
(mm)</t>
  </si>
  <si>
    <t>D:</t>
  </si>
  <si>
    <t>D1:</t>
  </si>
  <si>
    <t>D2:</t>
  </si>
  <si>
    <t>1–1</t>
  </si>
  <si>
    <t>1–2</t>
  </si>
  <si>
    <t>1–3</t>
  </si>
  <si>
    <t>1–4</t>
  </si>
  <si>
    <t>1–5</t>
  </si>
  <si>
    <t>1–6</t>
  </si>
  <si>
    <t>2–1</t>
  </si>
  <si>
    <t>2–2</t>
  </si>
  <si>
    <t>2–3</t>
  </si>
  <si>
    <t>2–4</t>
  </si>
  <si>
    <t>2–5</t>
  </si>
  <si>
    <t>2–6</t>
  </si>
  <si>
    <t>2–7</t>
  </si>
  <si>
    <t>2–8</t>
  </si>
  <si>
    <t>2–9</t>
  </si>
  <si>
    <t>2–10</t>
  </si>
  <si>
    <t>3–1</t>
  </si>
  <si>
    <t>3–2</t>
  </si>
  <si>
    <t>4–1</t>
  </si>
  <si>
    <t>4–2</t>
  </si>
  <si>
    <t>5</t>
  </si>
  <si>
    <t>–</t>
  </si>
  <si>
    <t>6–1</t>
  </si>
  <si>
    <t>6–2</t>
  </si>
  <si>
    <t>7–1</t>
  </si>
  <si>
    <t>7–2</t>
  </si>
  <si>
    <t>7–3</t>
  </si>
  <si>
    <t>7–4</t>
  </si>
  <si>
    <t>7–5</t>
  </si>
  <si>
    <t>7–6</t>
  </si>
  <si>
    <t>r:</t>
  </si>
  <si>
    <t>7–7</t>
  </si>
  <si>
    <t>7–8</t>
  </si>
  <si>
    <t>8–1</t>
  </si>
  <si>
    <t>8–2</t>
  </si>
  <si>
    <t>8–3</t>
  </si>
  <si>
    <t>Total Area:</t>
  </si>
  <si>
    <t>B6515</t>
  </si>
  <si>
    <t>1</t>
  </si>
  <si>
    <t>2</t>
  </si>
  <si>
    <t>H:</t>
  </si>
  <si>
    <t>HEAT EX. EXTERNAL AREA
(m²)</t>
  </si>
  <si>
    <t>DUCT EXTERNAL AREA
(m²)</t>
  </si>
  <si>
    <t>TAG NUMBER</t>
  </si>
  <si>
    <t>OUTSIDE DIAMETER
(mm)</t>
  </si>
  <si>
    <t>T-T LENGTH
(mm)</t>
  </si>
  <si>
    <r>
      <t>INSULATION SURFACE AREA
(m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</si>
  <si>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r>
      <t>CLADDING SURFACE AREA
(m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</si>
  <si>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t>CLADDING SURFACE AREA
(m²)</t>
  </si>
  <si>
    <t>INSULATION SURFACE AREA
(m²)</t>
  </si>
  <si>
    <t>HEAT EXCHANGER DIMENSIONS
(mm)</t>
  </si>
  <si>
    <t>Bins</t>
  </si>
  <si>
    <t>Chutes</t>
  </si>
  <si>
    <t>Silo</t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</si>
  <si>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45</t>
    </r>
  </si>
  <si>
    <t>PIPE EXTERNAL AREA
(m²)</t>
  </si>
  <si>
    <t>PIPE DIMENSIONS
(mm)</t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</si>
  <si>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57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</si>
  <si>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76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</si>
  <si>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89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</si>
  <si>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108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</si>
  <si>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133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</si>
  <si>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159</t>
    </r>
  </si>
  <si>
    <r>
      <rPr>
        <sz val="11"/>
        <rFont val="Calibri"/>
        <family val="2"/>
      </rPr>
      <t>Ø</t>
    </r>
    <r>
      <rPr>
        <sz val="11"/>
        <rFont val="Calibri"/>
        <family val="2"/>
        <scheme val="minor"/>
      </rPr>
      <t>219</t>
    </r>
  </si>
  <si>
    <t>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</si>
</sst>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right" vertical="center" indent="3"/>
    </xf>
    <xf numFmtId="0" fontId="0" fillId="0" borderId="1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 vertical="center" indent="3"/>
    </xf>
    <xf numFmtId="3" fontId="0" fillId="0" borderId="8" xfId="0" applyNumberFormat="1" applyFill="1" applyBorder="1" applyAlignment="1">
      <alignment horizontal="right" vertical="center" indent="2"/>
    </xf>
    <xf numFmtId="164" fontId="0" fillId="0" borderId="15" xfId="0" applyNumberFormat="1" applyFill="1" applyBorder="1" applyAlignment="1">
      <alignment horizontal="right" vertical="center" indent="3"/>
    </xf>
    <xf numFmtId="49" fontId="13" fillId="0" borderId="16" xfId="0" applyNumberFormat="1" applyFont="1" applyFill="1" applyBorder="1" applyAlignment="1">
      <alignment horizontal="right" vertical="center" indent="3"/>
    </xf>
    <xf numFmtId="0" fontId="0" fillId="0" borderId="16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 indent="3"/>
    </xf>
    <xf numFmtId="0" fontId="5" fillId="0" borderId="10" xfId="0" applyFon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 vertical="center" indent="2"/>
    </xf>
    <xf numFmtId="164" fontId="0" fillId="0" borderId="16" xfId="0" applyNumberFormat="1" applyFill="1" applyBorder="1" applyAlignment="1">
      <alignment horizontal="right" vertical="center" indent="3"/>
    </xf>
    <xf numFmtId="49" fontId="13" fillId="0" borderId="18" xfId="0" applyNumberFormat="1" applyFont="1" applyFill="1" applyBorder="1" applyAlignment="1">
      <alignment horizontal="right" vertical="center" indent="3"/>
    </xf>
    <xf numFmtId="0" fontId="0" fillId="0" borderId="20" xfId="0" applyFill="1" applyBorder="1" applyAlignment="1">
      <alignment horizontal="right" vertical="center" indent="3"/>
    </xf>
    <xf numFmtId="3" fontId="0" fillId="0" borderId="21" xfId="0" applyNumberFormat="1" applyFill="1" applyBorder="1" applyAlignment="1">
      <alignment horizontal="right" vertical="center" indent="2"/>
    </xf>
    <xf numFmtId="164" fontId="0" fillId="0" borderId="18" xfId="0" applyNumberFormat="1" applyFill="1" applyBorder="1" applyAlignment="1">
      <alignment horizontal="right" vertical="center" indent="3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right" vertical="center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14</xdr:col>
      <xdr:colOff>249871</xdr:colOff>
      <xdr:row>83</xdr:row>
      <xdr:rowOff>80819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250E710-0A9C-D3DD-9C34-FC14F828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36" y="7758545"/>
          <a:ext cx="9890326" cy="7285182"/>
        </a:xfrm>
        <a:prstGeom prst="rect">
          <a:avLst/>
        </a:prstGeom>
      </xdr:spPr>
    </xdr:pic>
    <xdr:clientData/>
  </xdr:twoCellAnchor>
  <xdr:twoCellAnchor editAs="oneCell">
    <xdr:from>
      <xdr:col>11</xdr:col>
      <xdr:colOff>790863</xdr:colOff>
      <xdr:row>54</xdr:row>
      <xdr:rowOff>103910</xdr:rowOff>
    </xdr:from>
    <xdr:to>
      <xdr:col>13</xdr:col>
      <xdr:colOff>672521</xdr:colOff>
      <xdr:row>61</xdr:row>
      <xdr:rowOff>165585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BD4484-9E0D-31CA-FA43-D61F895D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2545" y="9894455"/>
          <a:ext cx="1601931" cy="135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546676</xdr:colOff>
      <xdr:row>66</xdr:row>
      <xdr:rowOff>63500</xdr:rowOff>
    </xdr:from>
    <xdr:to>
      <xdr:col>14</xdr:col>
      <xdr:colOff>124048</xdr:colOff>
      <xdr:row>74</xdr:row>
      <xdr:rowOff>89666</xdr:rowOff>
    </xdr:to>
    <xdr:pic>
      <xdr:nvPicPr>
        <xdr:cNvPr id="6" name="Picture 5" descr="Learn How to Calculate Torus Volume, Surface Area Using Major, Minor Radius  - Tutorial, Definition, Example, Formula">
          <a:extLst>
            <a:ext uri="{FF2B5EF4-FFF2-40B4-BE49-F238E27FC236}">
              <a16:creationId xmlns:a16="http://schemas.microsoft.com/office/drawing/2014/main" id="{EB54104B-575E-4AF6-B4BC-9214560D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8358" y="12070773"/>
          <a:ext cx="2157781" cy="150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531090</xdr:colOff>
      <xdr:row>69</xdr:row>
      <xdr:rowOff>132772</xdr:rowOff>
    </xdr:from>
    <xdr:to>
      <xdr:col>11</xdr:col>
      <xdr:colOff>205047</xdr:colOff>
      <xdr:row>71</xdr:row>
      <xdr:rowOff>74484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6C8550-3F3A-DCE8-65A8-46A193E93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2363" y="12694227"/>
          <a:ext cx="2254366" cy="311166"/>
        </a:xfrm>
        <a:prstGeom prst="rect">
          <a:avLst/>
        </a:prstGeom>
      </xdr:spPr>
    </xdr:pic>
    <xdr:clientData/>
  </xdr:twoCellAnchor>
  <xdr:twoCellAnchor editAs="oneCell">
    <xdr:from>
      <xdr:col>8</xdr:col>
      <xdr:colOff>42261</xdr:colOff>
      <xdr:row>54</xdr:row>
      <xdr:rowOff>132772</xdr:rowOff>
    </xdr:from>
    <xdr:to>
      <xdr:col>11</xdr:col>
      <xdr:colOff>678511</xdr:colOff>
      <xdr:row>62</xdr:row>
      <xdr:rowOff>173181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55B6E5-0E0B-8ED9-0404-7D9813095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83534" y="9923317"/>
          <a:ext cx="3216659" cy="1518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8</xdr:row>
      <xdr:rowOff>69273</xdr:rowOff>
    </xdr:from>
    <xdr:to>
      <xdr:col>12</xdr:col>
      <xdr:colOff>282007</xdr:colOff>
      <xdr:row>44</xdr:row>
      <xdr:rowOff>17318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5F928F-1A62-4866-9E2B-AEAADF968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36" y="1916546"/>
          <a:ext cx="8138689" cy="6598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8</xdr:row>
      <xdr:rowOff>173183</xdr:rowOff>
    </xdr:from>
    <xdr:to>
      <xdr:col>3</xdr:col>
      <xdr:colOff>292681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D5F316-2CFF-4995-2534-541DF2CB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27" y="2205183"/>
          <a:ext cx="1909045" cy="380999"/>
        </a:xfrm>
        <a:prstGeom prst="rect">
          <a:avLst/>
        </a:prstGeom>
      </xdr:spPr>
    </xdr:pic>
    <xdr:clientData/>
  </xdr:twoCellAnchor>
  <xdr:twoCellAnchor editAs="oneCell">
    <xdr:from>
      <xdr:col>1</xdr:col>
      <xdr:colOff>17319</xdr:colOff>
      <xdr:row>6</xdr:row>
      <xdr:rowOff>103908</xdr:rowOff>
    </xdr:from>
    <xdr:to>
      <xdr:col>2</xdr:col>
      <xdr:colOff>831272</xdr:colOff>
      <xdr:row>8</xdr:row>
      <xdr:rowOff>121699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DB8564-D2BA-4FDA-24B7-C3B2AAF54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955" y="1766453"/>
          <a:ext cx="1656772" cy="387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4C1B-1381-4634-A2F6-349D0E56E318}">
  <sheetPr>
    <pageSetUpPr fitToPage="1"/>
  </sheetPr>
  <dimension ref="B2:Q139"/>
  <sheetViews>
    <sheetView tabSelected="1" zoomScale="110" zoomScaleNormal="11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12.26953125" defaultRowHeight="14.5" x14ac:dyDescent="0.35"/>
  <cols>
    <col min="1" max="1" width="2.26953125" style="1" customWidth="1"/>
    <col min="2" max="2" width="12.08984375" style="1" customWidth="1"/>
    <col min="3" max="3" width="12.26953125" style="1"/>
    <col min="4" max="4" width="5" style="6" customWidth="1"/>
    <col min="5" max="5" width="12.26953125" style="1"/>
    <col min="6" max="6" width="5" style="6" customWidth="1"/>
    <col min="7" max="7" width="12.26953125" style="1"/>
    <col min="8" max="8" width="5" style="6" customWidth="1"/>
    <col min="9" max="9" width="12.26953125" style="1"/>
    <col min="10" max="11" width="12.26953125" style="1" customWidth="1"/>
    <col min="12" max="16384" width="12.26953125" style="1"/>
  </cols>
  <sheetData>
    <row r="2" spans="2:17" s="3" customFormat="1" ht="58" customHeight="1" x14ac:dyDescent="0.35">
      <c r="B2" s="12" t="s">
        <v>7</v>
      </c>
      <c r="C2" s="15" t="s">
        <v>9</v>
      </c>
      <c r="D2" s="61" t="s">
        <v>8</v>
      </c>
      <c r="E2" s="61"/>
      <c r="F2" s="61"/>
      <c r="G2" s="61"/>
      <c r="H2" s="61"/>
      <c r="I2" s="61"/>
      <c r="J2" s="13" t="s">
        <v>55</v>
      </c>
      <c r="K2" s="13" t="s">
        <v>62</v>
      </c>
      <c r="L2" s="14" t="s">
        <v>61</v>
      </c>
      <c r="M2" s="9"/>
      <c r="N2" s="10"/>
    </row>
    <row r="3" spans="2:17" x14ac:dyDescent="0.35">
      <c r="B3" s="43" t="s">
        <v>13</v>
      </c>
      <c r="C3" s="23">
        <v>120</v>
      </c>
      <c r="D3" s="27" t="s">
        <v>0</v>
      </c>
      <c r="E3" s="16">
        <v>1400</v>
      </c>
      <c r="F3" s="17" t="s">
        <v>1</v>
      </c>
      <c r="G3" s="16">
        <v>2800</v>
      </c>
      <c r="H3" s="17" t="s">
        <v>2</v>
      </c>
      <c r="I3" s="28">
        <v>1400</v>
      </c>
      <c r="J3" s="33">
        <f>(2*((PI()*((G3*0.001)^2)*0.25)-(PI()*((E3*0.001)^2)*0.25)))+(PI()*2*(G3*0.001)*(I3*0.001)*0.25)+(PI()*2*(E3*0.001)*(I3*0.001)*0.25)</f>
        <v>18.472564803107986</v>
      </c>
      <c r="K3" s="33">
        <f>(2*((PI()*(((G3+(C3*0.5))*0.001)^2)*0.25)-(PI()*(((E3-(C3*0.5))*0.001)^2)*0.25)))+(PI()*2*((G3+(C3*0.5))*0.001)*(I3*0.001)*0.25)+(PI()*2*((E3-(C3*0.5))*0.001)*(I3*0.001)*0.25)</f>
        <v>19.26424615181261</v>
      </c>
      <c r="L3" s="33">
        <f>(2*((PI()*(((G3+C3)*0.001)^2)*0.25)-(PI()*(((E3-C3)*0.001)^2)*0.25)))+(PI()*2*((G3+C3)*0.001)*(I3*0.001)*0.25)+(PI()*2*((E3-C3)*0.001)*(I3*0.001)*0.25)</f>
        <v>20.055927500517239</v>
      </c>
      <c r="M3" s="4"/>
      <c r="N3" s="4"/>
    </row>
    <row r="4" spans="2:17" x14ac:dyDescent="0.35">
      <c r="B4" s="44" t="s">
        <v>14</v>
      </c>
      <c r="C4" s="24">
        <v>120</v>
      </c>
      <c r="D4" s="29" t="s">
        <v>4</v>
      </c>
      <c r="E4" s="18">
        <v>1400</v>
      </c>
      <c r="F4" s="19" t="s">
        <v>5</v>
      </c>
      <c r="G4" s="18">
        <v>1400</v>
      </c>
      <c r="H4" s="19" t="s">
        <v>6</v>
      </c>
      <c r="I4" s="30">
        <v>1883</v>
      </c>
      <c r="J4" s="34">
        <f>((2*E4*0.001)+(2*G4*0.001))*(I4*0.001)</f>
        <v>10.5448</v>
      </c>
      <c r="K4" s="34">
        <f>((2*(E4+C4)*0.001)+(2*(G4+C4)*0.001))*(I4*0.001)</f>
        <v>11.448640000000001</v>
      </c>
      <c r="L4" s="34">
        <f>((2*(E4+(2*C4))*0.001)+(2*(G4+(2*C4))*0.001))*(I4*0.001)</f>
        <v>12.352480000000002</v>
      </c>
      <c r="M4" s="4"/>
      <c r="N4" s="4"/>
    </row>
    <row r="5" spans="2:17" x14ac:dyDescent="0.35">
      <c r="B5" s="44" t="s">
        <v>15</v>
      </c>
      <c r="C5" s="24">
        <v>120</v>
      </c>
      <c r="D5" s="29" t="s">
        <v>0</v>
      </c>
      <c r="E5" s="18">
        <v>1400</v>
      </c>
      <c r="F5" s="19" t="s">
        <v>1</v>
      </c>
      <c r="G5" s="18">
        <v>2800</v>
      </c>
      <c r="H5" s="19" t="s">
        <v>2</v>
      </c>
      <c r="I5" s="30">
        <v>1400</v>
      </c>
      <c r="J5" s="34">
        <f>(2*((PI()*((G5*0.001)^2)*0.25)-(PI()*((E5*0.001)^2)*0.25)))+(PI()*2*(G5*0.001)*(I5*0.001)*0.25)+(PI()*2*(E5*0.001)*(I5*0.001)*0.25)</f>
        <v>18.472564803107986</v>
      </c>
      <c r="K5" s="34">
        <f>(2*((PI()*(((G5+(C5*0.5))*0.001)^2)*0.25)-(PI()*(((E5-(C5*0.5))*0.001)^2)*0.25)))+(PI()*2*((G5+(C5*0.5))*0.001)*(I5*0.001)*0.25)+(PI()*2*((E5-(C5*0.5))*0.001)*(I5*0.001)*0.25)</f>
        <v>19.26424615181261</v>
      </c>
      <c r="L5" s="34">
        <f>(2*((PI()*(((G5+C5)*0.001)^2)*0.25)-(PI()*(((E5-C5)*0.001)^2)*0.25)))+(PI()*2*((G5+C5)*0.001)*(I5*0.001)*0.25)+(PI()*2*((E5-C5)*0.001)*(I5*0.001)*0.25)</f>
        <v>20.055927500517239</v>
      </c>
      <c r="M5" s="4"/>
      <c r="N5" s="4"/>
    </row>
    <row r="6" spans="2:17" x14ac:dyDescent="0.35">
      <c r="B6" s="44" t="s">
        <v>16</v>
      </c>
      <c r="C6" s="24">
        <v>120</v>
      </c>
      <c r="D6" s="29" t="s">
        <v>4</v>
      </c>
      <c r="E6" s="18">
        <f>(1300+1400)/2</f>
        <v>1350</v>
      </c>
      <c r="F6" s="19" t="s">
        <v>5</v>
      </c>
      <c r="G6" s="18">
        <f>(1300+1400)/2</f>
        <v>1350</v>
      </c>
      <c r="H6" s="19" t="s">
        <v>6</v>
      </c>
      <c r="I6" s="30">
        <v>1097</v>
      </c>
      <c r="J6" s="34">
        <f>((2*E6*0.001)+(2*G6*0.001))*(I6*0.001)</f>
        <v>5.9238</v>
      </c>
      <c r="K6" s="34">
        <f>((2*(E6+C6)*0.001)+(2*(G6+C6)*0.001))*(I6*0.001)</f>
        <v>6.4503599999999999</v>
      </c>
      <c r="L6" s="34">
        <f>((2*(E6+(2*C6))*0.001)+(2*(G6+(2*C6))*0.001))*(I6*0.001)</f>
        <v>6.9769199999999998</v>
      </c>
    </row>
    <row r="7" spans="2:17" x14ac:dyDescent="0.35">
      <c r="B7" s="44" t="s">
        <v>17</v>
      </c>
      <c r="C7" s="24">
        <v>120</v>
      </c>
      <c r="D7" s="29" t="s">
        <v>0</v>
      </c>
      <c r="E7" s="18">
        <v>1300</v>
      </c>
      <c r="F7" s="19" t="s">
        <v>1</v>
      </c>
      <c r="G7" s="18">
        <v>2600</v>
      </c>
      <c r="H7" s="19" t="s">
        <v>2</v>
      </c>
      <c r="I7" s="30">
        <v>1300</v>
      </c>
      <c r="J7" s="34">
        <f>(2*((PI()*((G7*0.001)^2)*0.25)-(PI()*((E7*0.001)^2)*0.25)))+(PI()*2*(G7*0.001)*(I7*0.001)*0.25)+(PI()*2*(E7*0.001)*(I7*0.001)*0.25)</f>
        <v>15.927874753700252</v>
      </c>
      <c r="K7" s="34">
        <f>(2*((PI()*(((G7+(C7*0.5))*0.001)^2)*0.25)-(PI()*(((E7-(C7*0.5))*0.001)^2)*0.25)))+(PI()*2*((G7+(C7*0.5))*0.001)*(I7*0.001)*0.25)+(PI()*2*((E7-(C7*0.5))*0.001)*(I7*0.001)*0.25)</f>
        <v>16.663007434640264</v>
      </c>
      <c r="L7" s="34">
        <f>(2*((PI()*(((G7+C7)*0.001)^2)*0.25)-(PI()*(((E7-C7)*0.001)^2)*0.25)))+(PI()*2*((G7+C7)*0.001)*(I7*0.001)*0.25)+(PI()*2*((E7-C7)*0.001)*(I7*0.001)*0.25)</f>
        <v>17.398140115580279</v>
      </c>
      <c r="M7" s="4"/>
      <c r="N7" s="4"/>
    </row>
    <row r="8" spans="2:17" x14ac:dyDescent="0.35">
      <c r="B8" s="45" t="s">
        <v>18</v>
      </c>
      <c r="C8" s="36">
        <v>120</v>
      </c>
      <c r="D8" s="37" t="s">
        <v>4</v>
      </c>
      <c r="E8" s="38">
        <v>1300</v>
      </c>
      <c r="F8" s="39" t="s">
        <v>5</v>
      </c>
      <c r="G8" s="38">
        <v>1300</v>
      </c>
      <c r="H8" s="39" t="s">
        <v>6</v>
      </c>
      <c r="I8" s="40">
        <v>1500</v>
      </c>
      <c r="J8" s="41">
        <f>((2*E8*0.001)+(2*G8*0.001))*(I8*0.001)</f>
        <v>7.8000000000000007</v>
      </c>
      <c r="K8" s="41">
        <f>((2*(E8+C8)*0.001)+(2*(G8+C8)*0.001))*(I8*0.001)</f>
        <v>8.52</v>
      </c>
      <c r="L8" s="41">
        <f>((2*(E8+(2*C8))*0.001)+(2*(G8+(2*C8))*0.001))*(I8*0.001)</f>
        <v>9.24</v>
      </c>
    </row>
    <row r="9" spans="2:17" x14ac:dyDescent="0.35">
      <c r="B9" s="46" t="s">
        <v>19</v>
      </c>
      <c r="C9" s="23">
        <v>120</v>
      </c>
      <c r="D9" s="27" t="s">
        <v>10</v>
      </c>
      <c r="E9" s="16">
        <v>1300</v>
      </c>
      <c r="F9" s="17"/>
      <c r="G9" s="16" t="s">
        <v>34</v>
      </c>
      <c r="H9" s="17" t="s">
        <v>6</v>
      </c>
      <c r="I9" s="28">
        <v>8053</v>
      </c>
      <c r="J9" s="33">
        <f>PI()*(E9*0.001)*(I9*0.001)</f>
        <v>32.889019331166189</v>
      </c>
      <c r="K9" s="33">
        <f>PI()*((E9+C9)*0.001)*(I9*0.001)</f>
        <v>35.924928807889216</v>
      </c>
      <c r="L9" s="33">
        <f>PI()*((E9+(2*C9))*0.001)*(I9*0.001)</f>
        <v>38.960838284612258</v>
      </c>
      <c r="M9" s="4"/>
      <c r="N9" s="4"/>
    </row>
    <row r="10" spans="2:17" x14ac:dyDescent="0.35">
      <c r="B10" s="47" t="s">
        <v>20</v>
      </c>
      <c r="C10" s="24">
        <v>120</v>
      </c>
      <c r="D10" s="29" t="s">
        <v>11</v>
      </c>
      <c r="E10" s="18">
        <v>1300</v>
      </c>
      <c r="F10" s="19" t="s">
        <v>12</v>
      </c>
      <c r="G10" s="18">
        <v>1730</v>
      </c>
      <c r="H10" s="19" t="s">
        <v>6</v>
      </c>
      <c r="I10" s="30">
        <v>2000</v>
      </c>
      <c r="J10" s="34">
        <f>PI()*((G10*0.001*0.5)+(E10*0.001*0.5))*((((G10*0.001*0.5)-(E10*0.001*0.5))^2)+((I10*0.001)^2))^0.5</f>
        <v>9.5738698680111156</v>
      </c>
      <c r="K10" s="34">
        <f>PI()*(((G10+C10)*0.001*0.5)+((E10+C10)*0.001*0.5))*(((((G10+C10)*0.001*0.5)-((E10+C10)*0.001*0.5))^2)+((I10*0.001)^2))^0.5</f>
        <v>10.332196194190214</v>
      </c>
      <c r="L10" s="34">
        <f>PI()*(((G10+(2*C10))*0.001*0.5)+((E10+(2*C10))*0.001*0.5))*(((((G10+(2*C10))*0.001*0.5)-((E10+(2*C10))*0.001*0.5))^2)+((I10*0.001)^2))^0.5</f>
        <v>11.09052252036931</v>
      </c>
      <c r="M10" s="4"/>
      <c r="N10" s="4"/>
    </row>
    <row r="11" spans="2:17" x14ac:dyDescent="0.35">
      <c r="B11" s="47" t="s">
        <v>21</v>
      </c>
      <c r="C11" s="24">
        <v>120</v>
      </c>
      <c r="D11" s="29" t="s">
        <v>10</v>
      </c>
      <c r="E11" s="18">
        <v>1730</v>
      </c>
      <c r="F11" s="19"/>
      <c r="G11" s="18" t="s">
        <v>34</v>
      </c>
      <c r="H11" s="19" t="s">
        <v>6</v>
      </c>
      <c r="I11" s="30">
        <v>801</v>
      </c>
      <c r="J11" s="34">
        <f>PI()*(E11*0.001)*(I11*0.001)</f>
        <v>4.3533991878589848</v>
      </c>
      <c r="K11" s="34">
        <f>PI()*((E11+C11)*0.001)*(I11*0.001)</f>
        <v>4.655369073722035</v>
      </c>
      <c r="L11" s="34">
        <f>PI()*((E11+(2*C11))*0.001)*(I11*0.001)</f>
        <v>4.9573389595850861</v>
      </c>
      <c r="M11" s="4"/>
      <c r="N11" s="4"/>
      <c r="Q11"/>
    </row>
    <row r="12" spans="2:17" x14ac:dyDescent="0.35">
      <c r="B12" s="47" t="s">
        <v>22</v>
      </c>
      <c r="C12" s="24">
        <v>120</v>
      </c>
      <c r="D12" s="29" t="s">
        <v>11</v>
      </c>
      <c r="E12" s="18">
        <v>1400</v>
      </c>
      <c r="F12" s="19" t="s">
        <v>12</v>
      </c>
      <c r="G12" s="18">
        <v>1730</v>
      </c>
      <c r="H12" s="19" t="s">
        <v>6</v>
      </c>
      <c r="I12" s="30">
        <v>2000</v>
      </c>
      <c r="J12" s="34">
        <f>PI()*((G12*0.001*0.5)+(E12*0.001*0.5))*((((G12*0.001*0.5)-(E12*0.001*0.5))^2)+((I12*0.001)^2))^0.5</f>
        <v>9.8665918160784436</v>
      </c>
      <c r="K12" s="34">
        <f>PI()*(((G12+C12)*0.001*0.5)+((E12+C12)*0.001*0.5))*(((((G12+C12)*0.001*0.5)-((E12+C12)*0.001*0.5))^2)+((I12*0.001)^2))^0.5</f>
        <v>10.623135597502989</v>
      </c>
      <c r="L12" s="34">
        <f>PI()*(((G12+(2*C12))*0.001*0.5)+((E12+(2*C12))*0.001*0.5))*(((((G12+(2*C12))*0.001*0.5)-((E12+(2*C12))*0.001*0.5))^2)+((I12*0.001)^2))^0.5</f>
        <v>11.379679378927536</v>
      </c>
      <c r="M12" s="4"/>
      <c r="N12" s="4"/>
    </row>
    <row r="13" spans="2:17" x14ac:dyDescent="0.35">
      <c r="B13" s="47" t="s">
        <v>23</v>
      </c>
      <c r="C13" s="24">
        <v>120</v>
      </c>
      <c r="D13" s="29" t="s">
        <v>10</v>
      </c>
      <c r="E13" s="18">
        <v>1400</v>
      </c>
      <c r="F13" s="19"/>
      <c r="G13" s="18" t="s">
        <v>34</v>
      </c>
      <c r="H13" s="19" t="s">
        <v>6</v>
      </c>
      <c r="I13" s="30">
        <v>4500</v>
      </c>
      <c r="J13" s="34">
        <f>PI()*(E13*0.001)*(I13*0.001)</f>
        <v>19.792033717615695</v>
      </c>
      <c r="K13" s="34">
        <f>PI()*((E13+C13)*0.001)*(I13*0.001)</f>
        <v>21.488493750554184</v>
      </c>
      <c r="L13" s="34">
        <f>PI()*((E13+(2*C13))*0.001)*(I13*0.001)</f>
        <v>23.184953783492674</v>
      </c>
      <c r="M13" s="4"/>
      <c r="N13" s="4"/>
    </row>
    <row r="14" spans="2:17" x14ac:dyDescent="0.35">
      <c r="B14" s="47" t="s">
        <v>24</v>
      </c>
      <c r="C14" s="24">
        <v>120</v>
      </c>
      <c r="D14" s="29" t="s">
        <v>11</v>
      </c>
      <c r="E14" s="18">
        <v>1400</v>
      </c>
      <c r="F14" s="19" t="s">
        <v>12</v>
      </c>
      <c r="G14" s="18">
        <v>1730</v>
      </c>
      <c r="H14" s="19" t="s">
        <v>6</v>
      </c>
      <c r="I14" s="30">
        <v>2000</v>
      </c>
      <c r="J14" s="34">
        <f>PI()*((G14*0.001*0.5)+(E14*0.001*0.5))*((((G14*0.001*0.5)-(E14*0.001*0.5))^2)+((I14*0.001)^2))^0.5</f>
        <v>9.8665918160784436</v>
      </c>
      <c r="K14" s="34">
        <f>PI()*(((G14+C14)*0.001*0.5)+((E14+C14)*0.001*0.5))*(((((G14+C14)*0.001*0.5)-((E14+C14)*0.001*0.5))^2)+((I14*0.001)^2))^0.5</f>
        <v>10.623135597502989</v>
      </c>
      <c r="L14" s="34">
        <f>PI()*(((G14+(2*C14))*0.001*0.5)+((E14+(2*C14))*0.001*0.5))*(((((G14+(2*C14))*0.001*0.5)-((E14+(2*C14))*0.001*0.5))^2)+((I14*0.001)^2))^0.5</f>
        <v>11.379679378927536</v>
      </c>
      <c r="M14" s="4"/>
      <c r="N14" s="4"/>
    </row>
    <row r="15" spans="2:17" x14ac:dyDescent="0.35">
      <c r="B15" s="47" t="s">
        <v>25</v>
      </c>
      <c r="C15" s="24">
        <v>120</v>
      </c>
      <c r="D15" s="29" t="s">
        <v>10</v>
      </c>
      <c r="E15" s="18">
        <v>1730</v>
      </c>
      <c r="F15" s="19"/>
      <c r="G15" s="18" t="s">
        <v>34</v>
      </c>
      <c r="H15" s="19" t="s">
        <v>6</v>
      </c>
      <c r="I15" s="30">
        <v>800</v>
      </c>
      <c r="J15" s="34">
        <f>PI()*(E15*0.001)*(I15*0.001)</f>
        <v>4.3479642325682741</v>
      </c>
      <c r="K15" s="34">
        <f>PI()*((E15+C15)*0.001)*(I15*0.001)</f>
        <v>4.6495571273128942</v>
      </c>
      <c r="L15" s="34">
        <f>PI()*((E15+(2*C15))*0.001)*(I15*0.001)</f>
        <v>4.9511500220575142</v>
      </c>
      <c r="M15" s="4"/>
      <c r="N15" s="4"/>
    </row>
    <row r="16" spans="2:17" x14ac:dyDescent="0.35">
      <c r="B16" s="47" t="s">
        <v>26</v>
      </c>
      <c r="C16" s="24">
        <v>120</v>
      </c>
      <c r="D16" s="29" t="s">
        <v>11</v>
      </c>
      <c r="E16" s="18">
        <v>1400</v>
      </c>
      <c r="F16" s="19" t="s">
        <v>12</v>
      </c>
      <c r="G16" s="18">
        <v>1730</v>
      </c>
      <c r="H16" s="19" t="s">
        <v>6</v>
      </c>
      <c r="I16" s="30">
        <v>1200</v>
      </c>
      <c r="J16" s="34">
        <f>PI()*((G16*0.001*0.5)+(E16*0.001*0.5))*((((G16*0.001*0.5)-(E16*0.001*0.5))^2)+((I16*0.001)^2))^0.5</f>
        <v>5.9554224498859387</v>
      </c>
      <c r="K16" s="34">
        <f>PI()*(((G16+C16)*0.001*0.5)+((E16+C16)*0.001*0.5))*(((((G16+C16)*0.001*0.5)-((E16+C16)*0.001*0.5))^2)+((I16*0.001)^2))^0.5</f>
        <v>6.4120682607398134</v>
      </c>
      <c r="L16" s="34">
        <f>PI()*(((G16+(2*C16))*0.001*0.5)+((E16+(2*C16))*0.001*0.5))*(((((G16+(2*C16))*0.001*0.5)-((E16+(2*C16))*0.001*0.5))^2)+((I16*0.001)^2))^0.5</f>
        <v>6.8687140715936881</v>
      </c>
      <c r="M16" s="4"/>
      <c r="N16" s="4"/>
    </row>
    <row r="17" spans="2:14" x14ac:dyDescent="0.35">
      <c r="B17" s="47" t="s">
        <v>27</v>
      </c>
      <c r="C17" s="24">
        <v>120</v>
      </c>
      <c r="D17" s="29" t="s">
        <v>10</v>
      </c>
      <c r="E17" s="18">
        <v>1400</v>
      </c>
      <c r="F17" s="19"/>
      <c r="G17" s="18" t="s">
        <v>34</v>
      </c>
      <c r="H17" s="19" t="s">
        <v>6</v>
      </c>
      <c r="I17" s="30">
        <v>3500</v>
      </c>
      <c r="J17" s="34">
        <f>PI()*(E17*0.001)*(I17*0.001)</f>
        <v>15.393804002589986</v>
      </c>
      <c r="K17" s="34">
        <f>PI()*((E17+C17)*0.001)*(I17*0.001)</f>
        <v>16.713272917097697</v>
      </c>
      <c r="L17" s="34">
        <f>PI()*((E17+(2*C17))*0.001)*(I17*0.001)</f>
        <v>18.032741831605414</v>
      </c>
      <c r="M17" s="4"/>
      <c r="N17" s="4"/>
    </row>
    <row r="18" spans="2:14" x14ac:dyDescent="0.35">
      <c r="B18" s="48" t="s">
        <v>28</v>
      </c>
      <c r="C18" s="36">
        <v>120</v>
      </c>
      <c r="D18" s="37" t="s">
        <v>11</v>
      </c>
      <c r="E18" s="38">
        <v>950</v>
      </c>
      <c r="F18" s="39" t="s">
        <v>12</v>
      </c>
      <c r="G18" s="38">
        <v>1400</v>
      </c>
      <c r="H18" s="39" t="s">
        <v>6</v>
      </c>
      <c r="I18" s="40">
        <v>1987</v>
      </c>
      <c r="J18" s="41">
        <f>PI()*((G18*0.001*0.5)+(E18*0.001*0.5))*((((G18*0.001*0.5)-(E18*0.001*0.5))^2)+((I18*0.001)^2))^0.5</f>
        <v>7.381629703567433</v>
      </c>
      <c r="K18" s="41">
        <f>PI()*(((G18+C18)*0.001*0.5)+((E18+C18)*0.001*0.5))*(((((G18+C18)*0.001*0.5)-((E18+C18)*0.001*0.5))^2)+((I18*0.001)^2))^0.5</f>
        <v>8.1354982690381501</v>
      </c>
      <c r="L18" s="41">
        <f>PI()*(((G18+(2*C18))*0.001*0.5)+((E18+(2*C18))*0.001*0.5))*(((((G18+(2*C18))*0.001*0.5)-((E18+(2*C18))*0.001*0.5))^2)+((I18*0.001)^2))^0.5</f>
        <v>8.8893668345088646</v>
      </c>
      <c r="M18" s="4"/>
      <c r="N18" s="4"/>
    </row>
    <row r="19" spans="2:14" x14ac:dyDescent="0.35">
      <c r="B19" s="22" t="s">
        <v>29</v>
      </c>
      <c r="C19" s="23">
        <v>120</v>
      </c>
      <c r="D19" s="27" t="s">
        <v>0</v>
      </c>
      <c r="E19" s="16">
        <v>4725</v>
      </c>
      <c r="F19" s="17" t="s">
        <v>1</v>
      </c>
      <c r="G19" s="16">
        <v>5475</v>
      </c>
      <c r="H19" s="17" t="s">
        <v>2</v>
      </c>
      <c r="I19" s="28">
        <v>1370</v>
      </c>
      <c r="J19" s="33">
        <f>(2*((PI()*((G19*0.001)^2)*(135/360))-(PI()*((E19*0.001)^2)*(135/360))))+(PI()*2*(G19*0.001)*(I19*0.001)*(135/360))+(PI()*2*(E19*0.001)*(I19*0.001)*(135/360))</f>
        <v>50.950349655919283</v>
      </c>
      <c r="K19" s="33">
        <f>(2*((PI()*(((G19+(C19*0.5))*0.001)^2)*(135/360))-(PI()*(((E19-(C19*0.5))*0.001)^2)*(135/360))))+(PI()*2*((G19+(C19*0.5))*0.001)*(I19*0.001)*(135/360))+(PI()*2*((E19-(C19*0.5))*0.001)*(I19*0.001)*(135/360))</f>
        <v>53.8343317119147</v>
      </c>
      <c r="L19" s="33">
        <f>(2*((PI()*(((G19+C19)*0.001)^2)*(135/360))-(PI()*(((E19-C19)*0.001)^2)*(135/360))))+(PI()*2*((G19+C19)*0.001)*(I19*0.001)*(135/360))+(PI()*2*((E19-C19)*0.001)*(I19*0.001)*(135/360))</f>
        <v>56.718313767910118</v>
      </c>
      <c r="M19" s="4"/>
      <c r="N19" s="4"/>
    </row>
    <row r="20" spans="2:14" x14ac:dyDescent="0.35">
      <c r="B20" s="25" t="s">
        <v>30</v>
      </c>
      <c r="C20" s="26">
        <v>120</v>
      </c>
      <c r="D20" s="31" t="s">
        <v>4</v>
      </c>
      <c r="E20" s="20">
        <f>(750+950)/2</f>
        <v>850</v>
      </c>
      <c r="F20" s="21" t="s">
        <v>5</v>
      </c>
      <c r="G20" s="20">
        <v>1370</v>
      </c>
      <c r="H20" s="21" t="s">
        <v>6</v>
      </c>
      <c r="I20" s="32">
        <v>1000</v>
      </c>
      <c r="J20" s="35">
        <f>((2*E20*0.001)+(2*G20*0.001))*(I20*0.001)</f>
        <v>4.4400000000000004</v>
      </c>
      <c r="K20" s="35">
        <f>((2*(E20+C20)*0.001)+(2*(G20+C20)*0.001))*(I20*0.001)</f>
        <v>4.92</v>
      </c>
      <c r="L20" s="35">
        <f>((2*(E20+(2*C20))*0.001)+(2*(G20+(2*C20))*0.001))*(I20*0.001)</f>
        <v>5.4</v>
      </c>
      <c r="M20" s="4"/>
      <c r="N20" s="4"/>
    </row>
    <row r="21" spans="2:14" x14ac:dyDescent="0.35">
      <c r="B21" s="49" t="s">
        <v>31</v>
      </c>
      <c r="C21" s="23">
        <v>120</v>
      </c>
      <c r="D21" s="27" t="s">
        <v>4</v>
      </c>
      <c r="E21" s="16">
        <v>950</v>
      </c>
      <c r="F21" s="17" t="s">
        <v>5</v>
      </c>
      <c r="G21" s="16">
        <v>1370</v>
      </c>
      <c r="H21" s="17" t="s">
        <v>6</v>
      </c>
      <c r="I21" s="28">
        <v>4542</v>
      </c>
      <c r="J21" s="33">
        <f>((2*E21*0.001)+(2*G21*0.001))*(I21*0.001)</f>
        <v>21.07488</v>
      </c>
      <c r="K21" s="33">
        <f>((2*(E21+C21)*0.001)+(2*(G21+C21)*0.001))*(I21*0.001)</f>
        <v>23.255040000000001</v>
      </c>
      <c r="L21" s="33">
        <f>((2*(E21+(2*C21))*0.001)+(2*(G21+(2*C21))*0.001))*(I21*0.001)</f>
        <v>25.435199999999998</v>
      </c>
      <c r="M21" s="4"/>
      <c r="N21" s="4"/>
    </row>
    <row r="22" spans="2:14" x14ac:dyDescent="0.35">
      <c r="B22" s="50" t="s">
        <v>32</v>
      </c>
      <c r="C22" s="36">
        <v>120</v>
      </c>
      <c r="D22" s="37" t="s">
        <v>0</v>
      </c>
      <c r="E22" s="38">
        <v>1300</v>
      </c>
      <c r="F22" s="39" t="s">
        <v>1</v>
      </c>
      <c r="G22" s="38">
        <v>1950</v>
      </c>
      <c r="H22" s="39" t="s">
        <v>2</v>
      </c>
      <c r="I22" s="40">
        <v>1370</v>
      </c>
      <c r="J22" s="41">
        <f>(2*2.806)+(PI()*2*(G22*0.001)*(I22*0.001)*(135/360))+(PI()*2*(E22*0.001)*(I22*0.001)*(135/360))</f>
        <v>16.102955967581416</v>
      </c>
      <c r="K22" s="41">
        <f>(2*3.315)+(PI()*2*((G22+(C22*0.5))*0.001)*(I22*0.001)*(135/360))+(PI()*2*((E22-(C22*0.5))*0.001)*(I22*0.001)*(135/360))</f>
        <v>17.120955967581416</v>
      </c>
      <c r="L22" s="41">
        <f>(2*3.852)+(PI()*2*((G22+C22)*0.001)*(I22*0.001)*(135/360))+(PI()*2*((E22-C22)*0.001)*(I22*0.001)*(135/360))</f>
        <v>18.194955967581414</v>
      </c>
      <c r="M22" s="4"/>
      <c r="N22" s="4"/>
    </row>
    <row r="23" spans="2:14" x14ac:dyDescent="0.35">
      <c r="B23" s="51" t="s">
        <v>33</v>
      </c>
      <c r="C23" s="36">
        <v>120</v>
      </c>
      <c r="D23" s="37"/>
      <c r="E23" s="38" t="s">
        <v>34</v>
      </c>
      <c r="F23" s="39"/>
      <c r="G23" s="38" t="s">
        <v>34</v>
      </c>
      <c r="H23" s="39" t="s">
        <v>2</v>
      </c>
      <c r="I23" s="40">
        <v>604</v>
      </c>
      <c r="J23" s="41">
        <f>(7.813*2)+(26.44*I23*0.001)</f>
        <v>31.595759999999999</v>
      </c>
      <c r="K23" s="41">
        <f>(9.366*2)+(25.315*(I23+C23)*0.001)</f>
        <v>37.06006</v>
      </c>
      <c r="L23" s="41">
        <f>(10.825*2)+(21.712*(I23+(2*C23))*0.001)</f>
        <v>39.974927999999998</v>
      </c>
      <c r="M23" s="4"/>
      <c r="N23" s="4"/>
    </row>
    <row r="24" spans="2:14" x14ac:dyDescent="0.35">
      <c r="B24" s="54" t="s">
        <v>35</v>
      </c>
      <c r="C24" s="23">
        <v>120</v>
      </c>
      <c r="D24" s="27" t="s">
        <v>10</v>
      </c>
      <c r="E24" s="16">
        <v>1604</v>
      </c>
      <c r="F24" s="17"/>
      <c r="G24" s="16" t="s">
        <v>34</v>
      </c>
      <c r="H24" s="17" t="s">
        <v>6</v>
      </c>
      <c r="I24" s="28">
        <v>1723</v>
      </c>
      <c r="J24" s="33">
        <f>6*PI()*(E24*0.001)*(I24*0.001)</f>
        <v>52.094366903909304</v>
      </c>
      <c r="K24" s="33">
        <f>6*PI()*((E24+C24)*0.001)*(I24*0.001)</f>
        <v>55.991701086246643</v>
      </c>
      <c r="L24" s="33">
        <f>6*PI()*((E24+(2*C24))*0.001)*(I24*0.001)</f>
        <v>59.889035268584003</v>
      </c>
      <c r="M24" s="4"/>
      <c r="N24" s="4"/>
    </row>
    <row r="25" spans="2:14" x14ac:dyDescent="0.35">
      <c r="B25" s="55" t="s">
        <v>36</v>
      </c>
      <c r="C25" s="26">
        <v>120</v>
      </c>
      <c r="D25" s="31" t="s">
        <v>11</v>
      </c>
      <c r="E25" s="20">
        <v>564</v>
      </c>
      <c r="F25" s="21" t="s">
        <v>12</v>
      </c>
      <c r="G25" s="20">
        <v>1604</v>
      </c>
      <c r="H25" s="21" t="s">
        <v>6</v>
      </c>
      <c r="I25" s="32">
        <v>3006</v>
      </c>
      <c r="J25" s="35">
        <f>6*(PI()*((G25*0.001*0.5)+(E25*0.001*0.5))*((((G25*0.001*0.5)-(E25*0.001*0.5))^2)+((I25*0.001)^2))^0.5)</f>
        <v>62.333584650479267</v>
      </c>
      <c r="K25" s="35">
        <f>6*(PI()*(((G25+C25)*0.001*0.5)+((E25+C25)*0.001*0.5))*(((((G25+C25)*0.001*0.5)-((E25+C25)*0.001*0.5))^2)+((I25*0.001)^2))^0.5)</f>
        <v>69.233981475255561</v>
      </c>
      <c r="L25" s="35">
        <f>6*(PI()*(((G25+(2*C25))*0.001*0.5)+((E25+(2*C25))*0.001*0.5))*(((((G25+(2*C25))*0.001*0.5)-((E25+(2*C25))*0.001*0.5))^2)+((I25*0.001)^2))^0.5)</f>
        <v>76.134378300031869</v>
      </c>
      <c r="M25" s="4"/>
      <c r="N25" s="4"/>
    </row>
    <row r="26" spans="2:14" x14ac:dyDescent="0.35">
      <c r="B26" s="52" t="s">
        <v>37</v>
      </c>
      <c r="C26" s="23">
        <v>120</v>
      </c>
      <c r="D26" s="27"/>
      <c r="E26" s="16" t="s">
        <v>34</v>
      </c>
      <c r="F26" s="17" t="s">
        <v>2</v>
      </c>
      <c r="G26" s="16">
        <v>1000</v>
      </c>
      <c r="H26" s="17" t="s">
        <v>6</v>
      </c>
      <c r="I26" s="28">
        <v>5450</v>
      </c>
      <c r="J26" s="33">
        <f>2*((4.496*2)+(I26*0.001*G26*0.001))</f>
        <v>28.884</v>
      </c>
      <c r="K26" s="33">
        <f>2*((5.267*2)+((I26+C26)*0.001*(G26+C26)*0.001))</f>
        <v>33.544800000000002</v>
      </c>
      <c r="L26" s="33">
        <f>2*((6.066*2)+((I26+(2*C26))*0.001*(G26+(2*C26))*0.001))</f>
        <v>38.3752</v>
      </c>
      <c r="M26" s="4"/>
      <c r="N26" s="4"/>
    </row>
    <row r="27" spans="2:14" x14ac:dyDescent="0.35">
      <c r="B27" s="53" t="s">
        <v>38</v>
      </c>
      <c r="C27" s="24">
        <v>120</v>
      </c>
      <c r="D27" s="29" t="s">
        <v>0</v>
      </c>
      <c r="E27" s="18">
        <v>1200</v>
      </c>
      <c r="F27" s="19" t="s">
        <v>1</v>
      </c>
      <c r="G27" s="18">
        <v>2400</v>
      </c>
      <c r="H27" s="19" t="s">
        <v>2</v>
      </c>
      <c r="I27" s="30">
        <v>1000</v>
      </c>
      <c r="J27" s="34">
        <f>2*((2*((PI()*((G27*0.001)^2)*0.25)-(PI()*((E27*0.001)^2)*0.25)))+(PI()*2*(G27*0.001)*(I27*0.001)*0.25)+(PI()*2*(E27*0.001)*(I27*0.001)*0.25))</f>
        <v>24.881413816431163</v>
      </c>
      <c r="K27" s="34">
        <f>2*((2*((PI()*(((G27+(C27*0.5))*0.001)^2)*0.25)-(PI()*(((E27-(C27*0.5))*0.001)^2)*0.25)))+(PI()*2*((G27+(C27*0.5))*0.001)*(I27*0.001)*0.25)+(PI()*2*((E27-(C27*0.5))*0.001)*(I27*0.001)*0.25))</f>
        <v>26.238581842781951</v>
      </c>
      <c r="L27" s="34">
        <f>2*((2*((PI()*(((G27+C27)*0.001)^2)*0.25)-(PI()*(((E27-C27)*0.001)^2)*0.25)))+(PI()*2*((G27+C27)*0.001)*(I27*0.001)*0.25)+(PI()*2*((E27-C27)*0.001)*(I27*0.001)*0.25))</f>
        <v>27.595749869132746</v>
      </c>
      <c r="M27" s="4"/>
      <c r="N27" s="4"/>
    </row>
    <row r="28" spans="2:14" x14ac:dyDescent="0.35">
      <c r="B28" s="53" t="s">
        <v>39</v>
      </c>
      <c r="C28" s="24">
        <v>120</v>
      </c>
      <c r="D28" s="29"/>
      <c r="E28" s="18" t="s">
        <v>34</v>
      </c>
      <c r="F28" s="19"/>
      <c r="G28" s="18" t="s">
        <v>34</v>
      </c>
      <c r="H28" s="19" t="s">
        <v>2</v>
      </c>
      <c r="I28" s="30">
        <v>1200</v>
      </c>
      <c r="J28" s="34">
        <f>(5.321*2)+(13.8*I28*0.001)</f>
        <v>27.201999999999998</v>
      </c>
      <c r="K28" s="34">
        <f>(6.164*2)+(14.296*(I28+C28)*0.001)</f>
        <v>31.198719999999998</v>
      </c>
      <c r="L28" s="34">
        <f>(7.037*2)+(14.798*(I28+(2*C28))*0.001)</f>
        <v>35.383119999999998</v>
      </c>
      <c r="M28" s="4"/>
      <c r="N28" s="4"/>
    </row>
    <row r="29" spans="2:14" x14ac:dyDescent="0.35">
      <c r="B29" s="53" t="s">
        <v>40</v>
      </c>
      <c r="C29" s="24">
        <v>120</v>
      </c>
      <c r="D29" s="29" t="s">
        <v>4</v>
      </c>
      <c r="E29" s="18">
        <f>(1400+2200)/2</f>
        <v>1800</v>
      </c>
      <c r="F29" s="19" t="s">
        <v>5</v>
      </c>
      <c r="G29" s="18">
        <v>1300</v>
      </c>
      <c r="H29" s="19" t="s">
        <v>6</v>
      </c>
      <c r="I29" s="30">
        <v>1955</v>
      </c>
      <c r="J29" s="34">
        <f>((2*E29*0.001)+(2*G29*0.001))*(I29*0.001)</f>
        <v>12.121</v>
      </c>
      <c r="K29" s="34">
        <f>((2*(E29+C29)*0.001)+(2*(G29+C29)*0.001))*(I29*0.001)</f>
        <v>13.0594</v>
      </c>
      <c r="L29" s="34">
        <f>((2*(E29+(2*C29))*0.001)+(2*(G29+(2*C29))*0.001))*(I29*0.001)</f>
        <v>13.997800000000002</v>
      </c>
      <c r="M29" s="4"/>
      <c r="N29" s="4"/>
    </row>
    <row r="30" spans="2:14" x14ac:dyDescent="0.35">
      <c r="B30" s="53" t="s">
        <v>41</v>
      </c>
      <c r="C30" s="24">
        <v>120</v>
      </c>
      <c r="D30" s="29" t="s">
        <v>10</v>
      </c>
      <c r="E30" s="18">
        <v>1400</v>
      </c>
      <c r="F30" s="19"/>
      <c r="G30" s="18" t="s">
        <v>34</v>
      </c>
      <c r="H30" s="19" t="s">
        <v>6</v>
      </c>
      <c r="I30" s="30">
        <v>4900</v>
      </c>
      <c r="J30" s="34">
        <f>PI()*(E30*0.001)*(I30*0.001)</f>
        <v>21.551325603625983</v>
      </c>
      <c r="K30" s="34">
        <f>PI()*((E30+C30)*0.001)*(I30*0.001)</f>
        <v>23.39858208393678</v>
      </c>
      <c r="L30" s="34">
        <f>PI()*((E30+(2*C30))*0.001)*(I30*0.001)</f>
        <v>25.245838564247581</v>
      </c>
      <c r="M30" s="4"/>
      <c r="N30" s="4"/>
    </row>
    <row r="31" spans="2:14" x14ac:dyDescent="0.35">
      <c r="B31" s="53" t="s">
        <v>42</v>
      </c>
      <c r="C31" s="24">
        <v>120</v>
      </c>
      <c r="D31" s="29" t="s">
        <v>43</v>
      </c>
      <c r="E31" s="18">
        <f>1400/2</f>
        <v>700</v>
      </c>
      <c r="F31" s="19" t="s">
        <v>3</v>
      </c>
      <c r="G31" s="18">
        <v>1600</v>
      </c>
      <c r="H31" s="19"/>
      <c r="I31" s="30" t="s">
        <v>34</v>
      </c>
      <c r="J31" s="34">
        <f>PI()*PI()*E31*0.001*G31*0.001</f>
        <v>11.053956929220083</v>
      </c>
      <c r="K31" s="34">
        <f>PI()*PI()*(E31+(C31/2))*0.001*G31*0.001</f>
        <v>12.00143895172466</v>
      </c>
      <c r="L31" s="34">
        <f>PI()*PI()*(E31+C31)*0.001*G31*0.001</f>
        <v>12.948920974229239</v>
      </c>
      <c r="M31" s="4"/>
      <c r="N31" s="4"/>
    </row>
    <row r="32" spans="2:14" x14ac:dyDescent="0.35">
      <c r="B32" s="53" t="s">
        <v>44</v>
      </c>
      <c r="C32" s="24">
        <v>120</v>
      </c>
      <c r="D32" s="29" t="s">
        <v>11</v>
      </c>
      <c r="E32" s="18">
        <v>1145</v>
      </c>
      <c r="F32" s="19" t="s">
        <v>12</v>
      </c>
      <c r="G32" s="18">
        <v>1400</v>
      </c>
      <c r="H32" s="19" t="s">
        <v>6</v>
      </c>
      <c r="I32" s="30">
        <v>1128</v>
      </c>
      <c r="J32" s="34">
        <f>PI()*((G32*0.001*0.5)+(E32*0.001*0.5))*((((G32*0.001*0.5)-(E32*0.001*0.5))^2)+((I32*0.001)^2))^0.5</f>
        <v>4.5380942338020036</v>
      </c>
      <c r="K32" s="34">
        <f>PI()*(((G32+C32)*0.001*0.5)+((E32+C32)*0.001*0.5))*(((((G32+C32)*0.001*0.5)-((E32+C32)*0.001*0.5))^2)+((I32*0.001)^2))^0.5</f>
        <v>4.9660481104670264</v>
      </c>
      <c r="L32" s="34">
        <f>PI()*(((G32+(2*C32))*0.001*0.5)+((E32+(2*C32))*0.001*0.5))*(((((G32+(2*C32))*0.001*0.5)-((E32+(2*C32))*0.001*0.5))^2)+((I32*0.001)^2))^0.5</f>
        <v>5.3940019871320484</v>
      </c>
      <c r="M32" s="4"/>
      <c r="N32" s="4"/>
    </row>
    <row r="33" spans="2:14" x14ac:dyDescent="0.35">
      <c r="B33" s="56" t="s">
        <v>45</v>
      </c>
      <c r="C33" s="36">
        <v>120</v>
      </c>
      <c r="D33" s="37" t="s">
        <v>10</v>
      </c>
      <c r="E33" s="38">
        <v>1369</v>
      </c>
      <c r="F33" s="39"/>
      <c r="G33" s="38" t="s">
        <v>34</v>
      </c>
      <c r="H33" s="39" t="s">
        <v>6</v>
      </c>
      <c r="I33" s="40">
        <v>1479</v>
      </c>
      <c r="J33" s="41">
        <f>PI()*(E33*0.001)*(I33*0.001)</f>
        <v>6.3609428669485872</v>
      </c>
      <c r="K33" s="41">
        <f>PI()*((E33+C33)*0.001)*(I33*0.001)</f>
        <v>6.9185127311077048</v>
      </c>
      <c r="L33" s="41">
        <f>PI()*((E33+(2*C33))*0.001)*(I33*0.001)</f>
        <v>7.4760825952668206</v>
      </c>
      <c r="M33" s="4"/>
      <c r="N33" s="4"/>
    </row>
    <row r="34" spans="2:14" x14ac:dyDescent="0.35">
      <c r="B34" s="58" t="s">
        <v>46</v>
      </c>
      <c r="C34" s="24">
        <v>120</v>
      </c>
      <c r="D34" s="27" t="s">
        <v>11</v>
      </c>
      <c r="E34" s="16">
        <v>706</v>
      </c>
      <c r="F34" s="17" t="s">
        <v>12</v>
      </c>
      <c r="G34" s="16">
        <v>1500</v>
      </c>
      <c r="H34" s="17" t="s">
        <v>6</v>
      </c>
      <c r="I34" s="28">
        <v>1000</v>
      </c>
      <c r="J34" s="34">
        <f>PI()*((G34*0.001*0.5)+(E34*0.001*0.5))*((((G34*0.001*0.5)-(E34*0.001*0.5))^2)+((I34*0.001)^2))^0.5</f>
        <v>3.7282612107363997</v>
      </c>
      <c r="K34" s="34">
        <f>PI()*(((G34+C34)*0.001*0.5)+((E34+C34)*0.001*0.5))*(((((G34+C34)*0.001*0.5)-((E34+C34)*0.001*0.5))^2)+((I34*0.001)^2))^0.5</f>
        <v>4.1338743977612129</v>
      </c>
      <c r="L34" s="34">
        <f>PI()*(((G34+(2*C34))*0.001*0.5)+((E34+(2*C34))*0.001*0.5))*(((((G34+(2*C34))*0.001*0.5)-((E34+(2*C34))*0.001*0.5))^2)+((I34*0.001)^2))^0.5</f>
        <v>4.5394875847860243</v>
      </c>
      <c r="M34" s="4"/>
      <c r="N34" s="4"/>
    </row>
    <row r="35" spans="2:14" x14ac:dyDescent="0.35">
      <c r="B35" s="57" t="s">
        <v>47</v>
      </c>
      <c r="C35" s="24">
        <v>120</v>
      </c>
      <c r="D35" s="29" t="s">
        <v>10</v>
      </c>
      <c r="E35" s="18">
        <v>1500</v>
      </c>
      <c r="F35" s="19"/>
      <c r="G35" s="18" t="s">
        <v>34</v>
      </c>
      <c r="H35" s="19" t="s">
        <v>6</v>
      </c>
      <c r="I35" s="30">
        <v>15595</v>
      </c>
      <c r="J35" s="34">
        <f>PI()*(E35*0.001)*(I35*0.001)</f>
        <v>73.489706149099234</v>
      </c>
      <c r="K35" s="34">
        <f>PI()*((E35+C35)*0.001)*(I35*0.001)</f>
        <v>79.368882641027184</v>
      </c>
      <c r="L35" s="34">
        <f>PI()*((E35+(2*C35))*0.001)*(I35*0.001)</f>
        <v>85.24805913295512</v>
      </c>
      <c r="M35" s="4"/>
      <c r="N35" s="4"/>
    </row>
    <row r="36" spans="2:14" x14ac:dyDescent="0.35">
      <c r="B36" s="59" t="s">
        <v>48</v>
      </c>
      <c r="C36" s="36">
        <v>120</v>
      </c>
      <c r="D36" s="37" t="s">
        <v>11</v>
      </c>
      <c r="E36" s="38">
        <v>1500</v>
      </c>
      <c r="F36" s="39" t="s">
        <v>12</v>
      </c>
      <c r="G36" s="38">
        <v>1871</v>
      </c>
      <c r="H36" s="39" t="s">
        <v>6</v>
      </c>
      <c r="I36" s="40">
        <v>1288</v>
      </c>
      <c r="J36" s="41">
        <f>PI()*((G36*0.001*0.5)+(E36*0.001*0.5))*((((G36*0.001*0.5)-(E36*0.001*0.5))^2)+((I36*0.001)^2))^0.5</f>
        <v>6.8905286150133547</v>
      </c>
      <c r="K36" s="41">
        <f>PI()*(((G36+C36)*0.001*0.5)+((E36+C36)*0.001*0.5))*(((((G36+C36)*0.001*0.5)-((E36+C36)*0.001*0.5))^2)+((I36*0.001)^2))^0.5</f>
        <v>7.3811031826796869</v>
      </c>
      <c r="L36" s="41">
        <f>PI()*(((G36+(2*C36))*0.001*0.5)+((E36+(2*C36))*0.001*0.5))*(((((G36+(2*C36))*0.001*0.5)-((E36+(2*C36))*0.001*0.5))^2)+((I36*0.001)^2))^0.5</f>
        <v>7.8716777503460191</v>
      </c>
      <c r="M36" s="4"/>
      <c r="N36" s="4"/>
    </row>
    <row r="37" spans="2:14" x14ac:dyDescent="0.35">
      <c r="B37" s="62" t="s">
        <v>64</v>
      </c>
      <c r="C37" s="63">
        <v>120</v>
      </c>
      <c r="D37" s="64" t="s">
        <v>10</v>
      </c>
      <c r="E37" s="65">
        <v>1124</v>
      </c>
      <c r="F37" s="64"/>
      <c r="G37" s="65" t="s">
        <v>34</v>
      </c>
      <c r="H37" s="64" t="s">
        <v>6</v>
      </c>
      <c r="I37" s="66">
        <v>459</v>
      </c>
      <c r="J37" s="67">
        <f>6*PI()*(E37*0.001)*(I37*0.001)</f>
        <v>9.724787492816592</v>
      </c>
      <c r="K37" s="67">
        <f>6*PI()*((E37+C37)*0.001)*(I37*0.001)</f>
        <v>10.763021032974944</v>
      </c>
      <c r="L37" s="67">
        <f>6*PI()*((E37+(2*C37))*0.001)*(I37*0.001)</f>
        <v>11.801254573133301</v>
      </c>
      <c r="M37" s="4"/>
      <c r="N37" s="4"/>
    </row>
    <row r="38" spans="2:14" x14ac:dyDescent="0.35">
      <c r="B38" s="62"/>
      <c r="C38" s="68">
        <v>120</v>
      </c>
      <c r="D38" s="69" t="s">
        <v>11</v>
      </c>
      <c r="E38" s="70">
        <v>319</v>
      </c>
      <c r="F38" s="69" t="s">
        <v>12</v>
      </c>
      <c r="G38" s="70">
        <v>1124</v>
      </c>
      <c r="H38" s="69" t="s">
        <v>6</v>
      </c>
      <c r="I38" s="71">
        <v>1088</v>
      </c>
      <c r="J38" s="72">
        <f>6*(PI()*((G38*0.001*0.5)+(E38*0.001*0.5))*((((G38*0.001*0.5)-(E38*0.001*0.5))^2)+((I38*0.001)^2))^0.5)</f>
        <v>15.776828081308862</v>
      </c>
      <c r="K38" s="72">
        <f>6*(PI()*(((G38+C38)*0.001*0.5)+((E38+C38)*0.001*0.5))*(((((G38+C38)*0.001*0.5)-((E38+C38)*0.001*0.5))^2)+((I38*0.001)^2))^0.5)</f>
        <v>18.40083275179682</v>
      </c>
      <c r="L38" s="72">
        <f>6*(PI()*(((G38+(2*C38))*0.001*0.5)+((E38+(2*C38))*0.001*0.5))*(((((G38+(2*C38))*0.001*0.5)-((E38+(2*C38))*0.001*0.5))^2)+((I38*0.001)^2))^0.5)</f>
        <v>21.024837422284779</v>
      </c>
      <c r="M38" s="4"/>
      <c r="N38" s="4"/>
    </row>
    <row r="39" spans="2:14" x14ac:dyDescent="0.35">
      <c r="B39" s="73" t="s">
        <v>65</v>
      </c>
      <c r="C39" s="74">
        <v>120</v>
      </c>
      <c r="D39" s="75" t="s">
        <v>10</v>
      </c>
      <c r="E39" s="76">
        <v>376</v>
      </c>
      <c r="F39" s="75"/>
      <c r="G39" s="76" t="s">
        <v>34</v>
      </c>
      <c r="H39" s="75" t="s">
        <v>6</v>
      </c>
      <c r="I39" s="77">
        <v>5700</v>
      </c>
      <c r="J39" s="78">
        <f>6*PI()*(E39*0.001)*(I39*0.001)</f>
        <v>40.398368251041866</v>
      </c>
      <c r="K39" s="78">
        <f>6*PI()*((E39+C39)*0.001)*(I39*0.001)</f>
        <v>53.291464501374378</v>
      </c>
      <c r="L39" s="78">
        <f>6*PI()*((E39+(2*C39))*0.001)*(I39*0.001)</f>
        <v>66.184560751706883</v>
      </c>
      <c r="M39" s="4"/>
      <c r="N39" s="4"/>
    </row>
    <row r="40" spans="2:14" x14ac:dyDescent="0.35">
      <c r="B40" s="62" t="s">
        <v>66</v>
      </c>
      <c r="C40" s="63">
        <v>120</v>
      </c>
      <c r="D40" s="64" t="s">
        <v>11</v>
      </c>
      <c r="E40" s="65">
        <v>319</v>
      </c>
      <c r="F40" s="64" t="s">
        <v>12</v>
      </c>
      <c r="G40" s="65">
        <v>1920</v>
      </c>
      <c r="H40" s="64" t="s">
        <v>6</v>
      </c>
      <c r="I40" s="66">
        <v>1088</v>
      </c>
      <c r="J40" s="67">
        <f>(PI()*((G40*0.001*0.5)+(E40*0.001*0.5))*((((G40*0.001*0.5)-(E40*0.001*0.5))^2)+((I40*0.001)^2))^0.5)</f>
        <v>4.7506296056289665</v>
      </c>
      <c r="K40" s="67">
        <f>(PI()*(((G40+C40)*0.001*0.5)+((E40+C40)*0.001*0.5))*(((((G40+C40)*0.001*0.5)-((E40+C40)*0.001*0.5))^2)+((I40*0.001)^2))^0.5)</f>
        <v>5.2598529666611027</v>
      </c>
      <c r="L40" s="67">
        <f>(PI()*(((G40+(2*C40))*0.001*0.5)+((E40+(2*C40))*0.001*0.5))*(((((G40+(2*C40))*0.001*0.5)-((E40+(2*C40))*0.001*0.5))^2)+((I40*0.001)^2))^0.5)</f>
        <v>5.7690763276932389</v>
      </c>
      <c r="M40" s="4"/>
      <c r="N40" s="4"/>
    </row>
    <row r="41" spans="2:14" x14ac:dyDescent="0.35">
      <c r="B41" s="62"/>
      <c r="C41" s="68">
        <v>120</v>
      </c>
      <c r="D41" s="69" t="s">
        <v>11</v>
      </c>
      <c r="E41" s="70">
        <v>443</v>
      </c>
      <c r="F41" s="69" t="s">
        <v>12</v>
      </c>
      <c r="G41" s="70">
        <v>1920</v>
      </c>
      <c r="H41" s="69" t="s">
        <v>6</v>
      </c>
      <c r="I41" s="71">
        <v>237</v>
      </c>
      <c r="J41" s="72">
        <f>(PI()*((G41*0.001*0.5)+(E41*0.001*0.5))*((((G41*0.001*0.5)-(E41*0.001*0.5))^2)+((I41*0.001)^2))^0.5)</f>
        <v>2.878855823562076</v>
      </c>
      <c r="K41" s="72">
        <f>(PI()*(((G41+C41)*0.001*0.5)+((E41+C41)*0.001*0.5))*(((((G41+C41)*0.001*0.5)-((E41+C41)*0.001*0.5))^2)+((I41*0.001)^2))^0.5)</f>
        <v>3.1712491361540773</v>
      </c>
      <c r="L41" s="72">
        <f>(PI()*(((G41+(2*C41))*0.001*0.5)+((E41+(2*C41))*0.001*0.5))*(((((G41+(2*C41))*0.001*0.5)-((E41+(2*C41))*0.001*0.5))^2)+((I41*0.001)^2))^0.5)</f>
        <v>3.4636424487460786</v>
      </c>
      <c r="M41" s="4"/>
      <c r="N41" s="4"/>
    </row>
    <row r="42" spans="2:14" x14ac:dyDescent="0.35">
      <c r="B42" s="8"/>
      <c r="I42" s="60" t="s">
        <v>49</v>
      </c>
      <c r="J42" s="42">
        <f>SUM(J3:J41)</f>
        <v>729.38452634246119</v>
      </c>
      <c r="K42" s="42">
        <f>SUM(K3:K41)</f>
        <v>805.68058990526151</v>
      </c>
      <c r="L42" s="42">
        <f>SUM(L3:L41)</f>
        <v>879.84050146806192</v>
      </c>
      <c r="M42" s="4"/>
      <c r="N42" s="4"/>
    </row>
    <row r="43" spans="2:14" x14ac:dyDescent="0.35">
      <c r="B43" s="8"/>
      <c r="J43" s="7"/>
      <c r="K43" s="7"/>
      <c r="L43" s="7"/>
      <c r="M43" s="4"/>
      <c r="N43" s="4"/>
    </row>
    <row r="44" spans="2:14" x14ac:dyDescent="0.35">
      <c r="B44" s="8"/>
      <c r="J44" s="7"/>
      <c r="K44" s="7"/>
      <c r="L44" s="7"/>
      <c r="M44" s="4"/>
      <c r="N44" s="4"/>
    </row>
    <row r="45" spans="2:14" x14ac:dyDescent="0.35">
      <c r="B45" s="8"/>
      <c r="J45" s="7"/>
      <c r="K45" s="7"/>
      <c r="L45" s="7"/>
      <c r="M45" s="4"/>
      <c r="N45" s="4"/>
    </row>
    <row r="46" spans="2:14" x14ac:dyDescent="0.35">
      <c r="B46" s="8"/>
      <c r="J46" s="7"/>
      <c r="K46" s="7"/>
      <c r="L46" s="7"/>
      <c r="M46" s="4"/>
      <c r="N46" s="4"/>
    </row>
    <row r="47" spans="2:14" x14ac:dyDescent="0.35">
      <c r="B47" s="8"/>
      <c r="J47" s="7"/>
      <c r="K47" s="7"/>
      <c r="L47" s="7"/>
      <c r="M47" s="4"/>
      <c r="N47" s="4"/>
    </row>
    <row r="48" spans="2:14" x14ac:dyDescent="0.35">
      <c r="B48" s="8"/>
      <c r="J48" s="7"/>
      <c r="K48" s="7"/>
      <c r="L48" s="7"/>
      <c r="M48" s="4"/>
      <c r="N48" s="4"/>
    </row>
    <row r="49" spans="2:14" x14ac:dyDescent="0.35">
      <c r="B49" s="8"/>
      <c r="J49" s="7"/>
      <c r="K49" s="7"/>
      <c r="L49" s="7"/>
      <c r="M49" s="4"/>
      <c r="N49" s="4"/>
    </row>
    <row r="50" spans="2:14" x14ac:dyDescent="0.35">
      <c r="B50" s="8"/>
      <c r="J50" s="7"/>
      <c r="K50" s="7"/>
      <c r="L50" s="7"/>
      <c r="M50" s="4"/>
      <c r="N50" s="4"/>
    </row>
    <row r="51" spans="2:14" x14ac:dyDescent="0.35">
      <c r="B51" s="8"/>
      <c r="J51" s="7"/>
      <c r="K51" s="7"/>
      <c r="L51" s="7"/>
      <c r="M51" s="4"/>
      <c r="N51" s="4"/>
    </row>
    <row r="52" spans="2:14" x14ac:dyDescent="0.35">
      <c r="B52" s="8"/>
      <c r="J52" s="7"/>
      <c r="K52" s="7"/>
      <c r="L52" s="7"/>
      <c r="M52" s="4"/>
      <c r="N52" s="4"/>
    </row>
    <row r="53" spans="2:14" x14ac:dyDescent="0.35">
      <c r="B53" s="8"/>
      <c r="J53" s="7"/>
      <c r="K53" s="7"/>
      <c r="L53" s="7"/>
      <c r="M53" s="4"/>
      <c r="N53" s="4"/>
    </row>
    <row r="54" spans="2:14" x14ac:dyDescent="0.35">
      <c r="B54" s="8"/>
      <c r="J54" s="7"/>
      <c r="K54" s="7"/>
      <c r="L54" s="7"/>
      <c r="M54" s="4"/>
      <c r="N54" s="4"/>
    </row>
    <row r="55" spans="2:14" x14ac:dyDescent="0.35">
      <c r="B55" s="8"/>
      <c r="J55" s="7"/>
      <c r="K55" s="7"/>
      <c r="L55" s="7"/>
      <c r="M55" s="4"/>
      <c r="N55" s="4"/>
    </row>
    <row r="56" spans="2:14" x14ac:dyDescent="0.35">
      <c r="B56" s="8"/>
      <c r="J56" s="7"/>
      <c r="K56" s="7"/>
      <c r="L56" s="7"/>
      <c r="M56" s="4"/>
      <c r="N56" s="4"/>
    </row>
    <row r="57" spans="2:14" x14ac:dyDescent="0.35">
      <c r="B57" s="8"/>
      <c r="J57" s="7"/>
      <c r="K57" s="7"/>
      <c r="L57" s="7"/>
      <c r="M57" s="4"/>
      <c r="N57" s="4"/>
    </row>
    <row r="58" spans="2:14" x14ac:dyDescent="0.35">
      <c r="B58" s="8"/>
      <c r="J58" s="7"/>
      <c r="K58" s="7"/>
      <c r="L58" s="7"/>
      <c r="M58" s="4"/>
      <c r="N58" s="4"/>
    </row>
    <row r="59" spans="2:14" x14ac:dyDescent="0.35">
      <c r="B59" s="8"/>
      <c r="J59" s="7"/>
      <c r="K59" s="7"/>
      <c r="L59" s="7"/>
      <c r="M59" s="4"/>
      <c r="N59" s="4"/>
    </row>
    <row r="60" spans="2:14" x14ac:dyDescent="0.35">
      <c r="B60" s="8"/>
      <c r="J60" s="7"/>
      <c r="K60" s="7"/>
      <c r="L60" s="7"/>
      <c r="M60" s="4"/>
      <c r="N60" s="4"/>
    </row>
    <row r="61" spans="2:14" x14ac:dyDescent="0.35">
      <c r="B61" s="8"/>
      <c r="J61" s="7"/>
      <c r="K61" s="7"/>
      <c r="L61" s="7"/>
      <c r="M61" s="4"/>
      <c r="N61" s="4"/>
    </row>
    <row r="62" spans="2:14" x14ac:dyDescent="0.35">
      <c r="B62" s="8"/>
      <c r="J62" s="7"/>
      <c r="K62" s="7"/>
      <c r="L62" s="7"/>
      <c r="M62" s="4"/>
      <c r="N62" s="4"/>
    </row>
    <row r="63" spans="2:14" x14ac:dyDescent="0.35">
      <c r="B63" s="8"/>
      <c r="J63" s="7"/>
      <c r="K63" s="7"/>
      <c r="L63" s="7"/>
      <c r="M63" s="4"/>
      <c r="N63" s="4"/>
    </row>
    <row r="64" spans="2:14" x14ac:dyDescent="0.35">
      <c r="B64" s="8"/>
      <c r="J64" s="7"/>
      <c r="K64" s="7"/>
      <c r="L64" s="7"/>
      <c r="M64" s="4"/>
      <c r="N64" s="4"/>
    </row>
    <row r="65" spans="2:14" x14ac:dyDescent="0.35">
      <c r="B65" s="8"/>
      <c r="J65" s="7"/>
      <c r="K65" s="7"/>
      <c r="L65" s="7"/>
      <c r="M65" s="4"/>
      <c r="N65" s="4"/>
    </row>
    <row r="66" spans="2:14" x14ac:dyDescent="0.35">
      <c r="B66" s="8"/>
      <c r="J66" s="7"/>
      <c r="K66" s="7"/>
      <c r="L66" s="7"/>
      <c r="M66" s="4"/>
      <c r="N66" s="4"/>
    </row>
    <row r="67" spans="2:14" x14ac:dyDescent="0.35">
      <c r="B67" s="8"/>
      <c r="J67" s="7"/>
      <c r="K67" s="7"/>
      <c r="L67" s="7"/>
      <c r="M67" s="4"/>
      <c r="N67" s="4"/>
    </row>
    <row r="68" spans="2:14" x14ac:dyDescent="0.35">
      <c r="B68" s="8"/>
      <c r="J68" s="7"/>
      <c r="K68" s="7"/>
      <c r="L68" s="7"/>
      <c r="M68" s="4"/>
      <c r="N68" s="4"/>
    </row>
    <row r="69" spans="2:14" x14ac:dyDescent="0.35">
      <c r="B69" s="8"/>
      <c r="J69" s="7"/>
      <c r="K69" s="7"/>
      <c r="L69" s="7"/>
      <c r="M69" s="4"/>
      <c r="N69" s="4"/>
    </row>
    <row r="70" spans="2:14" x14ac:dyDescent="0.35">
      <c r="B70" s="8"/>
      <c r="J70" s="7"/>
      <c r="K70" s="7"/>
      <c r="L70" s="7"/>
      <c r="M70" s="4"/>
      <c r="N70" s="4"/>
    </row>
    <row r="71" spans="2:14" x14ac:dyDescent="0.35">
      <c r="B71" s="8"/>
      <c r="J71" s="7"/>
      <c r="K71" s="7"/>
      <c r="L71" s="7"/>
      <c r="M71" s="4"/>
      <c r="N71" s="4"/>
    </row>
    <row r="72" spans="2:14" x14ac:dyDescent="0.35">
      <c r="B72" s="8"/>
      <c r="J72" s="7"/>
      <c r="K72" s="7"/>
      <c r="L72" s="7"/>
      <c r="M72" s="4"/>
      <c r="N72" s="4"/>
    </row>
    <row r="73" spans="2:14" x14ac:dyDescent="0.35">
      <c r="B73" s="8"/>
      <c r="J73" s="7"/>
      <c r="K73" s="7"/>
      <c r="L73" s="7"/>
      <c r="M73" s="4"/>
      <c r="N73" s="4"/>
    </row>
    <row r="74" spans="2:14" x14ac:dyDescent="0.35">
      <c r="B74" s="8"/>
      <c r="J74" s="7"/>
      <c r="K74" s="7"/>
      <c r="L74" s="7"/>
      <c r="M74" s="4"/>
      <c r="N74" s="4"/>
    </row>
    <row r="75" spans="2:14" x14ac:dyDescent="0.35">
      <c r="B75" s="8"/>
      <c r="J75" s="7"/>
      <c r="K75" s="7"/>
      <c r="L75" s="7"/>
      <c r="M75" s="4"/>
      <c r="N75" s="4"/>
    </row>
    <row r="76" spans="2:14" x14ac:dyDescent="0.35">
      <c r="B76" s="8"/>
      <c r="J76" s="7"/>
      <c r="K76" s="7"/>
      <c r="L76" s="7"/>
      <c r="M76" s="4"/>
      <c r="N76" s="4"/>
    </row>
    <row r="77" spans="2:14" x14ac:dyDescent="0.35">
      <c r="B77" s="8"/>
      <c r="J77" s="7"/>
      <c r="K77" s="7"/>
      <c r="L77" s="7"/>
      <c r="M77" s="4"/>
      <c r="N77" s="4"/>
    </row>
    <row r="78" spans="2:14" x14ac:dyDescent="0.35">
      <c r="B78" s="8"/>
      <c r="J78" s="7"/>
      <c r="K78" s="7"/>
      <c r="L78" s="7"/>
      <c r="M78" s="4"/>
      <c r="N78" s="4"/>
    </row>
    <row r="79" spans="2:14" x14ac:dyDescent="0.35">
      <c r="B79" s="8"/>
      <c r="J79" s="7"/>
      <c r="K79" s="7"/>
      <c r="L79" s="7"/>
      <c r="M79" s="4"/>
      <c r="N79" s="4"/>
    </row>
    <row r="80" spans="2:14" x14ac:dyDescent="0.35">
      <c r="B80" s="8"/>
      <c r="J80" s="7"/>
      <c r="K80" s="7"/>
      <c r="L80" s="7"/>
      <c r="M80" s="4"/>
      <c r="N80" s="4"/>
    </row>
    <row r="81" spans="2:14" x14ac:dyDescent="0.35">
      <c r="B81" s="8"/>
      <c r="J81" s="7"/>
      <c r="K81" s="7"/>
      <c r="L81" s="7"/>
      <c r="M81" s="4"/>
      <c r="N81" s="4"/>
    </row>
    <row r="82" spans="2:14" x14ac:dyDescent="0.35">
      <c r="B82" s="8"/>
      <c r="J82" s="7"/>
      <c r="K82" s="7"/>
      <c r="L82" s="7"/>
      <c r="M82" s="4"/>
      <c r="N82" s="4"/>
    </row>
    <row r="83" spans="2:14" x14ac:dyDescent="0.35">
      <c r="B83" s="8"/>
      <c r="J83" s="7"/>
      <c r="K83" s="7"/>
      <c r="L83" s="7"/>
      <c r="M83" s="4"/>
      <c r="N83" s="4"/>
    </row>
    <row r="84" spans="2:14" x14ac:dyDescent="0.35">
      <c r="B84" s="8"/>
      <c r="J84" s="7"/>
      <c r="K84" s="7"/>
      <c r="L84" s="7"/>
      <c r="M84" s="4"/>
      <c r="N84" s="4"/>
    </row>
    <row r="85" spans="2:14" x14ac:dyDescent="0.35">
      <c r="B85" s="8"/>
      <c r="J85" s="7"/>
      <c r="K85" s="7"/>
      <c r="L85" s="7"/>
      <c r="M85" s="4"/>
      <c r="N85" s="4"/>
    </row>
    <row r="86" spans="2:14" x14ac:dyDescent="0.35">
      <c r="B86" s="8"/>
      <c r="J86" s="7"/>
      <c r="K86" s="7"/>
      <c r="L86" s="7"/>
      <c r="M86" s="4"/>
      <c r="N86" s="4"/>
    </row>
    <row r="87" spans="2:14" x14ac:dyDescent="0.35">
      <c r="B87" s="8"/>
      <c r="J87" s="7"/>
      <c r="K87" s="7"/>
      <c r="L87" s="7"/>
      <c r="M87" s="4"/>
      <c r="N87" s="4"/>
    </row>
    <row r="88" spans="2:14" x14ac:dyDescent="0.35">
      <c r="B88" s="8"/>
      <c r="J88" s="7"/>
      <c r="K88" s="7"/>
      <c r="L88" s="7"/>
      <c r="M88" s="4"/>
      <c r="N88" s="4"/>
    </row>
    <row r="89" spans="2:14" x14ac:dyDescent="0.35">
      <c r="B89" s="8"/>
      <c r="J89" s="7"/>
      <c r="K89" s="7"/>
      <c r="L89" s="7"/>
      <c r="M89" s="4"/>
      <c r="N89" s="4"/>
    </row>
    <row r="90" spans="2:14" x14ac:dyDescent="0.35">
      <c r="B90" s="8"/>
      <c r="J90" s="7"/>
      <c r="K90" s="7"/>
      <c r="L90" s="7"/>
      <c r="M90" s="4"/>
      <c r="N90" s="4"/>
    </row>
    <row r="91" spans="2:14" x14ac:dyDescent="0.35">
      <c r="B91" s="8"/>
      <c r="J91" s="7"/>
      <c r="K91" s="7"/>
      <c r="L91" s="7"/>
      <c r="M91" s="4"/>
      <c r="N91" s="4"/>
    </row>
    <row r="92" spans="2:14" x14ac:dyDescent="0.35">
      <c r="B92" s="8"/>
      <c r="J92" s="7"/>
      <c r="K92" s="7"/>
      <c r="L92" s="7"/>
      <c r="M92" s="4"/>
      <c r="N92" s="4"/>
    </row>
    <row r="93" spans="2:14" x14ac:dyDescent="0.35">
      <c r="B93" s="8"/>
      <c r="J93" s="7"/>
      <c r="K93" s="7"/>
      <c r="L93" s="7"/>
      <c r="M93" s="4"/>
      <c r="N93" s="4"/>
    </row>
    <row r="94" spans="2:14" x14ac:dyDescent="0.35">
      <c r="B94" s="8"/>
      <c r="J94" s="7"/>
      <c r="K94" s="7"/>
      <c r="L94" s="7"/>
      <c r="M94" s="4"/>
      <c r="N94" s="4"/>
    </row>
    <row r="95" spans="2:14" x14ac:dyDescent="0.35">
      <c r="B95" s="8"/>
      <c r="J95" s="7"/>
      <c r="K95" s="7"/>
      <c r="L95" s="7"/>
      <c r="M95" s="4"/>
      <c r="N95" s="4"/>
    </row>
    <row r="96" spans="2:14" x14ac:dyDescent="0.35">
      <c r="B96" s="8"/>
      <c r="J96" s="7"/>
      <c r="K96" s="7"/>
      <c r="L96" s="7"/>
      <c r="M96" s="4"/>
      <c r="N96" s="4"/>
    </row>
    <row r="97" spans="2:14" x14ac:dyDescent="0.35">
      <c r="B97" s="8"/>
      <c r="J97" s="7"/>
      <c r="K97" s="7"/>
      <c r="L97" s="7"/>
      <c r="M97" s="4"/>
      <c r="N97" s="4"/>
    </row>
    <row r="98" spans="2:14" x14ac:dyDescent="0.35">
      <c r="B98" s="8"/>
      <c r="J98" s="7"/>
      <c r="K98" s="7"/>
      <c r="L98" s="7"/>
      <c r="M98" s="4"/>
      <c r="N98" s="4"/>
    </row>
    <row r="99" spans="2:14" x14ac:dyDescent="0.35">
      <c r="B99" s="8"/>
      <c r="J99" s="7"/>
      <c r="K99" s="7"/>
      <c r="L99" s="7"/>
      <c r="M99" s="4"/>
      <c r="N99" s="4"/>
    </row>
    <row r="100" spans="2:14" x14ac:dyDescent="0.35">
      <c r="B100" s="8"/>
      <c r="J100" s="7"/>
      <c r="K100" s="7"/>
      <c r="L100" s="7"/>
      <c r="M100" s="4"/>
      <c r="N100" s="4"/>
    </row>
    <row r="101" spans="2:14" x14ac:dyDescent="0.35">
      <c r="B101" s="8"/>
      <c r="J101" s="7"/>
      <c r="K101" s="7"/>
      <c r="L101" s="7"/>
      <c r="M101" s="4"/>
      <c r="N101" s="4"/>
    </row>
    <row r="102" spans="2:14" x14ac:dyDescent="0.35">
      <c r="B102" s="8"/>
      <c r="J102" s="7"/>
      <c r="K102" s="7"/>
      <c r="L102" s="7"/>
      <c r="M102" s="4"/>
      <c r="N102" s="4"/>
    </row>
    <row r="103" spans="2:14" x14ac:dyDescent="0.35">
      <c r="B103" s="8"/>
      <c r="J103" s="7"/>
      <c r="K103" s="7"/>
      <c r="L103" s="7"/>
      <c r="M103" s="4"/>
      <c r="N103" s="4"/>
    </row>
    <row r="104" spans="2:14" x14ac:dyDescent="0.35">
      <c r="B104" s="8"/>
      <c r="J104" s="7"/>
      <c r="K104" s="7"/>
      <c r="L104" s="7"/>
      <c r="M104" s="4"/>
      <c r="N104" s="4"/>
    </row>
    <row r="105" spans="2:14" x14ac:dyDescent="0.35">
      <c r="B105" s="8"/>
      <c r="J105" s="7"/>
      <c r="K105" s="7"/>
      <c r="L105" s="7"/>
      <c r="M105" s="4"/>
      <c r="N105" s="4"/>
    </row>
    <row r="106" spans="2:14" x14ac:dyDescent="0.35">
      <c r="B106" s="8"/>
      <c r="J106" s="7"/>
      <c r="K106" s="7"/>
      <c r="L106" s="7"/>
      <c r="M106" s="4"/>
      <c r="N106" s="4"/>
    </row>
    <row r="107" spans="2:14" x14ac:dyDescent="0.35">
      <c r="B107" s="8"/>
      <c r="J107" s="7"/>
      <c r="K107" s="7"/>
      <c r="L107" s="7"/>
      <c r="M107" s="4"/>
      <c r="N107" s="4"/>
    </row>
    <row r="108" spans="2:14" x14ac:dyDescent="0.35">
      <c r="B108" s="8"/>
      <c r="J108" s="7"/>
      <c r="K108" s="7"/>
      <c r="L108" s="7"/>
      <c r="M108" s="4"/>
      <c r="N108" s="4"/>
    </row>
    <row r="109" spans="2:14" x14ac:dyDescent="0.35">
      <c r="B109" s="8"/>
      <c r="J109" s="7"/>
      <c r="K109" s="7"/>
      <c r="L109" s="7"/>
      <c r="M109" s="4"/>
      <c r="N109" s="4"/>
    </row>
    <row r="110" spans="2:14" x14ac:dyDescent="0.35">
      <c r="B110" s="8"/>
      <c r="J110" s="7"/>
      <c r="K110" s="7"/>
      <c r="L110" s="7"/>
      <c r="M110" s="4"/>
      <c r="N110" s="4"/>
    </row>
    <row r="111" spans="2:14" x14ac:dyDescent="0.35">
      <c r="B111" s="8"/>
      <c r="J111" s="7"/>
      <c r="K111" s="7"/>
      <c r="L111" s="7"/>
      <c r="M111" s="4"/>
      <c r="N111" s="4"/>
    </row>
    <row r="112" spans="2:14" x14ac:dyDescent="0.35">
      <c r="B112" s="8"/>
      <c r="J112" s="7"/>
      <c r="K112" s="7"/>
      <c r="L112" s="7"/>
      <c r="M112" s="4"/>
      <c r="N112" s="4"/>
    </row>
    <row r="113" spans="2:14" x14ac:dyDescent="0.35">
      <c r="B113" s="8"/>
      <c r="J113" s="7"/>
      <c r="K113" s="7"/>
      <c r="L113" s="7"/>
      <c r="M113" s="4"/>
      <c r="N113" s="4"/>
    </row>
    <row r="114" spans="2:14" x14ac:dyDescent="0.35">
      <c r="B114" s="8"/>
      <c r="J114" s="7"/>
      <c r="K114" s="7"/>
      <c r="L114" s="7"/>
      <c r="M114" s="4"/>
      <c r="N114" s="4"/>
    </row>
    <row r="115" spans="2:14" x14ac:dyDescent="0.35">
      <c r="B115" s="8"/>
      <c r="J115" s="7"/>
      <c r="K115" s="7"/>
      <c r="L115" s="7"/>
      <c r="M115" s="4"/>
      <c r="N115" s="4"/>
    </row>
    <row r="116" spans="2:14" x14ac:dyDescent="0.35">
      <c r="B116" s="8"/>
      <c r="J116" s="7"/>
      <c r="K116" s="7"/>
      <c r="L116" s="7"/>
      <c r="M116" s="4"/>
      <c r="N116" s="4"/>
    </row>
    <row r="117" spans="2:14" x14ac:dyDescent="0.35">
      <c r="B117" s="8"/>
      <c r="J117" s="7"/>
      <c r="K117" s="7"/>
      <c r="L117" s="7"/>
      <c r="M117" s="4"/>
      <c r="N117" s="4"/>
    </row>
    <row r="118" spans="2:14" x14ac:dyDescent="0.35">
      <c r="B118" s="8"/>
      <c r="J118" s="7"/>
      <c r="K118" s="7"/>
      <c r="L118" s="7"/>
      <c r="M118" s="4"/>
      <c r="N118" s="4"/>
    </row>
    <row r="119" spans="2:14" x14ac:dyDescent="0.35">
      <c r="B119" s="8"/>
      <c r="J119" s="7"/>
      <c r="K119" s="7"/>
      <c r="L119" s="7"/>
      <c r="M119" s="4"/>
      <c r="N119" s="4"/>
    </row>
    <row r="120" spans="2:14" x14ac:dyDescent="0.35">
      <c r="B120" s="8"/>
      <c r="J120" s="7"/>
      <c r="K120" s="7"/>
      <c r="L120" s="7"/>
      <c r="M120" s="4"/>
      <c r="N120" s="4"/>
    </row>
    <row r="121" spans="2:14" x14ac:dyDescent="0.35">
      <c r="B121" s="8"/>
      <c r="J121" s="7"/>
      <c r="K121" s="7"/>
      <c r="L121" s="7"/>
      <c r="M121" s="4"/>
      <c r="N121" s="4"/>
    </row>
    <row r="122" spans="2:14" x14ac:dyDescent="0.35">
      <c r="B122" s="8"/>
      <c r="J122" s="7"/>
      <c r="K122" s="7"/>
      <c r="L122" s="7"/>
      <c r="M122" s="4"/>
      <c r="N122" s="4"/>
    </row>
    <row r="123" spans="2:14" x14ac:dyDescent="0.35">
      <c r="B123" s="8"/>
      <c r="J123" s="7"/>
      <c r="K123" s="7"/>
      <c r="L123" s="7"/>
      <c r="M123" s="4"/>
      <c r="N123" s="4"/>
    </row>
    <row r="124" spans="2:14" x14ac:dyDescent="0.35">
      <c r="B124" s="8"/>
      <c r="J124" s="7"/>
      <c r="K124" s="7"/>
      <c r="L124" s="7"/>
      <c r="M124" s="4"/>
      <c r="N124" s="4"/>
    </row>
    <row r="125" spans="2:14" x14ac:dyDescent="0.35">
      <c r="B125" s="8"/>
      <c r="J125" s="7"/>
      <c r="K125" s="7"/>
      <c r="L125" s="7"/>
      <c r="M125" s="4"/>
      <c r="N125" s="4"/>
    </row>
    <row r="126" spans="2:14" x14ac:dyDescent="0.35">
      <c r="B126" s="8"/>
      <c r="J126" s="7"/>
      <c r="K126" s="7"/>
      <c r="L126" s="7"/>
      <c r="M126" s="4"/>
      <c r="N126" s="4"/>
    </row>
    <row r="127" spans="2:14" x14ac:dyDescent="0.35">
      <c r="B127" s="8"/>
      <c r="J127" s="7"/>
      <c r="K127" s="7"/>
      <c r="L127" s="7"/>
      <c r="M127" s="4"/>
      <c r="N127" s="4"/>
    </row>
    <row r="128" spans="2:14" x14ac:dyDescent="0.35">
      <c r="B128" s="8"/>
      <c r="J128" s="7"/>
      <c r="K128" s="7"/>
      <c r="L128" s="7"/>
      <c r="M128" s="4"/>
      <c r="N128" s="4"/>
    </row>
    <row r="129" spans="2:14" x14ac:dyDescent="0.35">
      <c r="B129" s="8"/>
      <c r="J129" s="7"/>
      <c r="K129" s="7"/>
      <c r="L129" s="7"/>
      <c r="M129" s="4"/>
      <c r="N129" s="4"/>
    </row>
    <row r="130" spans="2:14" x14ac:dyDescent="0.35">
      <c r="B130" s="8"/>
      <c r="J130" s="7"/>
      <c r="K130" s="7"/>
      <c r="L130" s="7"/>
      <c r="M130" s="4"/>
      <c r="N130" s="4"/>
    </row>
    <row r="131" spans="2:14" x14ac:dyDescent="0.35">
      <c r="B131" s="8"/>
      <c r="J131" s="7"/>
      <c r="K131" s="7"/>
      <c r="L131" s="7"/>
      <c r="M131" s="4"/>
      <c r="N131" s="4"/>
    </row>
    <row r="132" spans="2:14" x14ac:dyDescent="0.35">
      <c r="B132" s="8"/>
      <c r="J132" s="7"/>
      <c r="K132" s="7"/>
      <c r="L132" s="7"/>
      <c r="M132" s="4"/>
      <c r="N132" s="4"/>
    </row>
    <row r="133" spans="2:14" x14ac:dyDescent="0.35">
      <c r="B133" s="8"/>
      <c r="J133" s="7"/>
      <c r="K133" s="7"/>
      <c r="L133" s="7"/>
      <c r="M133" s="4"/>
      <c r="N133" s="4"/>
    </row>
    <row r="134" spans="2:14" x14ac:dyDescent="0.35">
      <c r="B134" s="8"/>
      <c r="J134" s="7"/>
      <c r="K134" s="7"/>
      <c r="L134" s="7"/>
      <c r="M134" s="4"/>
      <c r="N134" s="4"/>
    </row>
    <row r="135" spans="2:14" x14ac:dyDescent="0.35">
      <c r="B135" s="8"/>
      <c r="J135" s="7"/>
      <c r="K135" s="7"/>
      <c r="L135" s="7"/>
      <c r="M135" s="4"/>
      <c r="N135" s="4"/>
    </row>
    <row r="136" spans="2:14" x14ac:dyDescent="0.35">
      <c r="B136" s="8"/>
      <c r="J136" s="7"/>
      <c r="K136" s="7"/>
      <c r="L136" s="7"/>
      <c r="M136" s="4"/>
      <c r="N136" s="4"/>
    </row>
    <row r="137" spans="2:14" x14ac:dyDescent="0.35">
      <c r="B137" s="8"/>
      <c r="J137" s="7"/>
      <c r="K137" s="7"/>
      <c r="L137" s="7"/>
      <c r="M137" s="4"/>
      <c r="N137" s="4"/>
    </row>
    <row r="138" spans="2:14" x14ac:dyDescent="0.35">
      <c r="B138" s="8"/>
      <c r="J138" s="7"/>
      <c r="K138" s="7"/>
      <c r="L138" s="7"/>
      <c r="M138" s="4"/>
      <c r="N138" s="4"/>
    </row>
    <row r="139" spans="2:14" x14ac:dyDescent="0.35">
      <c r="B139" s="8"/>
      <c r="J139" s="7"/>
      <c r="K139" s="7"/>
      <c r="L139" s="7"/>
      <c r="M139" s="4"/>
      <c r="N139" s="4"/>
    </row>
  </sheetData>
  <mergeCells count="3">
    <mergeCell ref="D2:I2"/>
    <mergeCell ref="B37:B38"/>
    <mergeCell ref="B40:B41"/>
  </mergeCells>
  <phoneticPr fontId="3" type="noConversion"/>
  <pageMargins left="0.70866141732283472" right="0.70866141732283472" top="0.74803149606299213" bottom="0.74803149606299213" header="0.31496062992125984" footer="0.31496062992125984"/>
  <pageSetup paperSize="8" scale="86" orientation="portrait" r:id="rId1"/>
  <headerFooter>
    <oddFooter>&amp;A</oddFooter>
  </headerFooter>
  <ignoredErrors>
    <ignoredError sqref="K4:K5 L4:L5 J4:J5 J6:L6 J7:L1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54B8-1577-4E8E-A792-4A5773A121E5}">
  <sheetPr>
    <pageSetUpPr fitToPage="1"/>
  </sheetPr>
  <dimension ref="B2:N104"/>
  <sheetViews>
    <sheetView zoomScale="110" zoomScaleNormal="110" workbookViewId="0">
      <pane ySplit="2" topLeftCell="A3" activePane="bottomLeft" state="frozen"/>
      <selection pane="bottomLeft"/>
    </sheetView>
  </sheetViews>
  <sheetFormatPr defaultColWidth="12.26953125" defaultRowHeight="14.5" x14ac:dyDescent="0.35"/>
  <cols>
    <col min="1" max="1" width="2.26953125" style="1" customWidth="1"/>
    <col min="2" max="2" width="12.08984375" style="1" customWidth="1"/>
    <col min="3" max="3" width="12.26953125" style="1"/>
    <col min="4" max="4" width="5" style="6" customWidth="1"/>
    <col min="5" max="5" width="12.26953125" style="1"/>
    <col min="6" max="6" width="5" style="6" customWidth="1"/>
    <col min="7" max="7" width="12.26953125" style="1"/>
    <col min="8" max="8" width="5" style="6" customWidth="1"/>
    <col min="9" max="9" width="12.26953125" style="1"/>
    <col min="10" max="11" width="12.26953125" style="1" customWidth="1"/>
    <col min="12" max="16384" width="12.26953125" style="1"/>
  </cols>
  <sheetData>
    <row r="2" spans="2:14" s="3" customFormat="1" ht="58" customHeight="1" x14ac:dyDescent="0.35">
      <c r="B2" s="12" t="s">
        <v>7</v>
      </c>
      <c r="C2" s="15" t="s">
        <v>9</v>
      </c>
      <c r="D2" s="61" t="s">
        <v>63</v>
      </c>
      <c r="E2" s="61"/>
      <c r="F2" s="61"/>
      <c r="G2" s="61"/>
      <c r="H2" s="61"/>
      <c r="I2" s="61"/>
      <c r="J2" s="13" t="s">
        <v>54</v>
      </c>
      <c r="K2" s="13" t="s">
        <v>62</v>
      </c>
      <c r="L2" s="14" t="s">
        <v>61</v>
      </c>
      <c r="M2" s="9"/>
      <c r="N2" s="10"/>
    </row>
    <row r="3" spans="2:14" x14ac:dyDescent="0.35">
      <c r="B3" s="46" t="s">
        <v>51</v>
      </c>
      <c r="C3" s="23">
        <v>120</v>
      </c>
      <c r="D3" s="27"/>
      <c r="E3" s="16" t="s">
        <v>34</v>
      </c>
      <c r="F3" s="17" t="s">
        <v>53</v>
      </c>
      <c r="G3" s="16">
        <v>3268</v>
      </c>
      <c r="H3" s="17" t="s">
        <v>6</v>
      </c>
      <c r="I3" s="28">
        <v>6958</v>
      </c>
      <c r="J3" s="33">
        <f>26.237+(2*(G3*0.001)*(I3*0.001))</f>
        <v>71.714488000000003</v>
      </c>
      <c r="K3" s="33">
        <f>27.579+(2*((G3+C3)*0.001)*((I3+C3)*0.001))</f>
        <v>75.539528000000004</v>
      </c>
      <c r="L3" s="33">
        <f>28.949+(2*((G3+(C3*2))*0.001)*((I3+(C3*2))*0.001))</f>
        <v>79.450168000000005</v>
      </c>
      <c r="M3" s="4"/>
      <c r="N3" s="4"/>
    </row>
    <row r="4" spans="2:14" x14ac:dyDescent="0.35">
      <c r="B4" s="47" t="s">
        <v>52</v>
      </c>
      <c r="C4" s="24">
        <v>120</v>
      </c>
      <c r="D4" s="29"/>
      <c r="E4" s="18" t="s">
        <v>34</v>
      </c>
      <c r="F4" s="19"/>
      <c r="G4" s="18" t="s">
        <v>34</v>
      </c>
      <c r="H4" s="19"/>
      <c r="I4" s="30" t="s">
        <v>34</v>
      </c>
      <c r="J4" s="34">
        <f>(2*7.39)+8.15</f>
        <v>22.93</v>
      </c>
      <c r="K4" s="34">
        <f>(2*8.094)+8.878</f>
        <v>25.065999999999999</v>
      </c>
      <c r="L4" s="34">
        <f>(2*8.829)+9.637</f>
        <v>27.295000000000002</v>
      </c>
      <c r="M4" s="4"/>
      <c r="N4" s="4"/>
    </row>
    <row r="5" spans="2:14" x14ac:dyDescent="0.35">
      <c r="B5" s="79" t="s">
        <v>77</v>
      </c>
      <c r="C5" s="80">
        <v>120</v>
      </c>
      <c r="D5" s="81"/>
      <c r="E5" s="70" t="s">
        <v>34</v>
      </c>
      <c r="F5" s="69"/>
      <c r="G5" s="70" t="s">
        <v>34</v>
      </c>
      <c r="H5" s="69"/>
      <c r="I5" s="82" t="s">
        <v>34</v>
      </c>
      <c r="J5" s="72">
        <v>37.774999999999999</v>
      </c>
      <c r="K5" s="72">
        <f>J5</f>
        <v>37.774999999999999</v>
      </c>
      <c r="L5" s="72">
        <f>J5</f>
        <v>37.774999999999999</v>
      </c>
      <c r="M5" s="4"/>
      <c r="N5" s="4"/>
    </row>
    <row r="6" spans="2:14" x14ac:dyDescent="0.35">
      <c r="B6" s="8"/>
      <c r="J6" s="7"/>
      <c r="K6" s="7"/>
      <c r="L6" s="7"/>
      <c r="M6" s="4"/>
      <c r="N6" s="4"/>
    </row>
    <row r="7" spans="2:14" x14ac:dyDescent="0.35">
      <c r="B7" s="8"/>
      <c r="I7" s="60" t="s">
        <v>49</v>
      </c>
      <c r="J7" s="42">
        <f>SUM(J3:J5)</f>
        <v>132.419488</v>
      </c>
      <c r="K7" s="42">
        <f>SUM(K3:K5)</f>
        <v>138.380528</v>
      </c>
      <c r="L7" s="42">
        <f>SUM(L3:L5)</f>
        <v>144.52016800000001</v>
      </c>
      <c r="M7" s="4"/>
      <c r="N7" s="4"/>
    </row>
    <row r="8" spans="2:14" x14ac:dyDescent="0.35">
      <c r="B8" s="8"/>
      <c r="J8" s="7"/>
      <c r="K8" s="7"/>
      <c r="L8" s="7"/>
      <c r="M8" s="4"/>
      <c r="N8" s="4"/>
    </row>
    <row r="9" spans="2:14" x14ac:dyDescent="0.35">
      <c r="B9" s="8"/>
      <c r="J9" s="7"/>
      <c r="K9" s="7"/>
      <c r="L9" s="7"/>
      <c r="M9" s="4"/>
      <c r="N9" s="4"/>
    </row>
    <row r="10" spans="2:14" x14ac:dyDescent="0.35">
      <c r="B10" s="8"/>
      <c r="J10" s="7"/>
      <c r="K10" s="7"/>
      <c r="L10" s="7"/>
      <c r="M10" s="4"/>
      <c r="N10" s="4"/>
    </row>
    <row r="11" spans="2:14" x14ac:dyDescent="0.35">
      <c r="B11" s="8"/>
      <c r="J11" s="7"/>
      <c r="K11" s="7"/>
      <c r="L11" s="7"/>
      <c r="M11" s="4"/>
      <c r="N11" s="4"/>
    </row>
    <row r="12" spans="2:14" x14ac:dyDescent="0.35">
      <c r="B12" s="8"/>
      <c r="J12" s="7"/>
      <c r="K12" s="7"/>
      <c r="L12" s="7"/>
      <c r="M12" s="4"/>
      <c r="N12" s="4"/>
    </row>
    <row r="13" spans="2:14" x14ac:dyDescent="0.35">
      <c r="B13" s="8"/>
      <c r="J13" s="7"/>
      <c r="K13" s="7"/>
      <c r="L13" s="7"/>
      <c r="M13" s="4"/>
      <c r="N13" s="4"/>
    </row>
    <row r="14" spans="2:14" x14ac:dyDescent="0.35">
      <c r="B14" s="8"/>
      <c r="J14" s="7"/>
      <c r="K14" s="7"/>
      <c r="L14" s="7"/>
      <c r="M14" s="4"/>
      <c r="N14" s="4"/>
    </row>
    <row r="15" spans="2:14" x14ac:dyDescent="0.35">
      <c r="B15" s="8"/>
      <c r="J15" s="7"/>
      <c r="K15" s="7"/>
      <c r="L15" s="7"/>
      <c r="M15" s="4"/>
      <c r="N15" s="4"/>
    </row>
    <row r="16" spans="2:14" x14ac:dyDescent="0.35">
      <c r="B16" s="8"/>
      <c r="J16" s="7"/>
      <c r="K16" s="7"/>
      <c r="L16" s="7"/>
      <c r="M16" s="4"/>
      <c r="N16" s="4"/>
    </row>
    <row r="17" spans="2:14" x14ac:dyDescent="0.35">
      <c r="B17" s="8"/>
      <c r="J17" s="7"/>
      <c r="K17" s="7"/>
      <c r="L17" s="7"/>
      <c r="M17" s="4"/>
      <c r="N17" s="4"/>
    </row>
    <row r="18" spans="2:14" x14ac:dyDescent="0.35">
      <c r="B18" s="8"/>
      <c r="J18" s="7"/>
      <c r="K18" s="7"/>
      <c r="L18" s="7"/>
      <c r="M18" s="4"/>
      <c r="N18" s="4"/>
    </row>
    <row r="19" spans="2:14" x14ac:dyDescent="0.35">
      <c r="B19" s="8"/>
      <c r="J19" s="7"/>
      <c r="K19" s="7"/>
      <c r="L19" s="7"/>
      <c r="M19" s="4"/>
      <c r="N19" s="4"/>
    </row>
    <row r="20" spans="2:14" x14ac:dyDescent="0.35">
      <c r="B20" s="8"/>
      <c r="J20" s="7"/>
      <c r="K20" s="7"/>
      <c r="L20" s="7"/>
      <c r="M20" s="4"/>
      <c r="N20" s="4"/>
    </row>
    <row r="21" spans="2:14" x14ac:dyDescent="0.35">
      <c r="B21" s="8"/>
      <c r="J21" s="7"/>
      <c r="K21" s="7"/>
      <c r="L21" s="7"/>
      <c r="M21" s="4"/>
      <c r="N21" s="4"/>
    </row>
    <row r="22" spans="2:14" x14ac:dyDescent="0.35">
      <c r="B22" s="8"/>
      <c r="J22" s="7"/>
      <c r="K22" s="7"/>
      <c r="L22" s="7"/>
      <c r="M22" s="4"/>
      <c r="N22" s="4"/>
    </row>
    <row r="23" spans="2:14" x14ac:dyDescent="0.35">
      <c r="B23" s="8"/>
      <c r="J23" s="7"/>
      <c r="K23" s="7"/>
      <c r="L23" s="7"/>
      <c r="M23" s="4"/>
      <c r="N23" s="4"/>
    </row>
    <row r="24" spans="2:14" x14ac:dyDescent="0.35">
      <c r="B24" s="8"/>
      <c r="J24" s="7"/>
      <c r="K24" s="7"/>
      <c r="L24" s="7"/>
      <c r="M24" s="4"/>
      <c r="N24" s="4"/>
    </row>
    <row r="25" spans="2:14" x14ac:dyDescent="0.35">
      <c r="B25" s="8"/>
      <c r="J25" s="7"/>
      <c r="K25" s="7"/>
      <c r="L25" s="7"/>
      <c r="M25" s="4"/>
      <c r="N25" s="4"/>
    </row>
    <row r="26" spans="2:14" x14ac:dyDescent="0.35">
      <c r="B26" s="8"/>
      <c r="J26" s="7"/>
      <c r="K26" s="7"/>
      <c r="L26" s="7"/>
      <c r="M26" s="4"/>
      <c r="N26" s="4"/>
    </row>
    <row r="27" spans="2:14" x14ac:dyDescent="0.35">
      <c r="B27" s="8"/>
      <c r="J27" s="7"/>
      <c r="K27" s="7"/>
      <c r="L27" s="7"/>
      <c r="M27" s="4"/>
      <c r="N27" s="4"/>
    </row>
    <row r="28" spans="2:14" x14ac:dyDescent="0.35">
      <c r="B28" s="8"/>
      <c r="J28" s="7"/>
      <c r="K28" s="7"/>
      <c r="L28" s="7"/>
      <c r="M28" s="4"/>
      <c r="N28" s="4"/>
    </row>
    <row r="29" spans="2:14" x14ac:dyDescent="0.35">
      <c r="B29" s="8"/>
      <c r="J29" s="7"/>
      <c r="K29" s="7"/>
      <c r="L29" s="7"/>
      <c r="M29" s="4"/>
      <c r="N29" s="4"/>
    </row>
    <row r="30" spans="2:14" x14ac:dyDescent="0.35">
      <c r="B30" s="8"/>
      <c r="J30" s="7"/>
      <c r="K30" s="7"/>
      <c r="L30" s="7"/>
      <c r="M30" s="4"/>
      <c r="N30" s="4"/>
    </row>
    <row r="31" spans="2:14" x14ac:dyDescent="0.35">
      <c r="B31" s="8"/>
      <c r="J31" s="7"/>
      <c r="K31" s="7"/>
      <c r="L31" s="7"/>
      <c r="M31" s="4"/>
      <c r="N31" s="4"/>
    </row>
    <row r="32" spans="2:14" x14ac:dyDescent="0.35">
      <c r="B32" s="8"/>
      <c r="J32" s="7"/>
      <c r="K32" s="7"/>
      <c r="L32" s="7"/>
      <c r="M32" s="4"/>
      <c r="N32" s="4"/>
    </row>
    <row r="33" spans="2:14" x14ac:dyDescent="0.35">
      <c r="B33" s="8"/>
      <c r="J33" s="7"/>
      <c r="K33" s="7"/>
      <c r="L33" s="7"/>
      <c r="M33" s="4"/>
      <c r="N33" s="4"/>
    </row>
    <row r="34" spans="2:14" x14ac:dyDescent="0.35">
      <c r="B34" s="8"/>
      <c r="J34" s="7"/>
      <c r="K34" s="7"/>
      <c r="L34" s="7"/>
      <c r="M34" s="4"/>
      <c r="N34" s="4"/>
    </row>
    <row r="35" spans="2:14" x14ac:dyDescent="0.35">
      <c r="B35" s="8"/>
      <c r="J35" s="7"/>
      <c r="K35" s="7"/>
      <c r="L35" s="7"/>
      <c r="M35" s="4"/>
      <c r="N35" s="4"/>
    </row>
    <row r="36" spans="2:14" x14ac:dyDescent="0.35">
      <c r="B36" s="8"/>
      <c r="J36" s="7"/>
      <c r="K36" s="7"/>
      <c r="L36" s="7"/>
      <c r="M36" s="4"/>
      <c r="N36" s="4"/>
    </row>
    <row r="37" spans="2:14" x14ac:dyDescent="0.35">
      <c r="B37" s="8"/>
      <c r="J37" s="7"/>
      <c r="K37" s="7"/>
      <c r="L37" s="7"/>
      <c r="M37" s="4"/>
      <c r="N37" s="4"/>
    </row>
    <row r="38" spans="2:14" x14ac:dyDescent="0.35">
      <c r="B38" s="8"/>
      <c r="J38" s="7"/>
      <c r="K38" s="7"/>
      <c r="L38" s="7"/>
      <c r="M38" s="4"/>
      <c r="N38" s="4"/>
    </row>
    <row r="39" spans="2:14" x14ac:dyDescent="0.35">
      <c r="B39" s="8"/>
      <c r="J39" s="7"/>
      <c r="K39" s="7"/>
      <c r="L39" s="7"/>
      <c r="M39" s="4"/>
      <c r="N39" s="4"/>
    </row>
    <row r="40" spans="2:14" x14ac:dyDescent="0.35">
      <c r="B40" s="8"/>
      <c r="J40" s="7"/>
      <c r="K40" s="7"/>
      <c r="L40" s="7"/>
      <c r="M40" s="4"/>
      <c r="N40" s="4"/>
    </row>
    <row r="41" spans="2:14" x14ac:dyDescent="0.35">
      <c r="B41" s="8"/>
      <c r="J41" s="7"/>
      <c r="K41" s="7"/>
      <c r="L41" s="7"/>
      <c r="M41" s="4"/>
      <c r="N41" s="4"/>
    </row>
    <row r="42" spans="2:14" x14ac:dyDescent="0.35">
      <c r="B42" s="8"/>
      <c r="J42" s="7"/>
      <c r="K42" s="7"/>
      <c r="L42" s="7"/>
      <c r="M42" s="4"/>
      <c r="N42" s="4"/>
    </row>
    <row r="43" spans="2:14" x14ac:dyDescent="0.35">
      <c r="B43" s="8"/>
      <c r="J43" s="7"/>
      <c r="K43" s="7"/>
      <c r="L43" s="7"/>
      <c r="M43" s="4"/>
      <c r="N43" s="4"/>
    </row>
    <row r="44" spans="2:14" x14ac:dyDescent="0.35">
      <c r="B44" s="8"/>
      <c r="J44" s="7"/>
      <c r="K44" s="7"/>
      <c r="L44" s="7"/>
      <c r="M44" s="4"/>
      <c r="N44" s="4"/>
    </row>
    <row r="45" spans="2:14" x14ac:dyDescent="0.35">
      <c r="B45" s="8"/>
      <c r="J45" s="7"/>
      <c r="K45" s="7"/>
      <c r="L45" s="7"/>
      <c r="M45" s="4"/>
      <c r="N45" s="4"/>
    </row>
    <row r="46" spans="2:14" x14ac:dyDescent="0.35">
      <c r="B46" s="8"/>
      <c r="J46" s="7"/>
      <c r="K46" s="7"/>
      <c r="L46" s="7"/>
      <c r="M46" s="4"/>
      <c r="N46" s="4"/>
    </row>
    <row r="47" spans="2:14" x14ac:dyDescent="0.35">
      <c r="B47" s="8"/>
      <c r="J47" s="7"/>
      <c r="K47" s="7"/>
      <c r="L47" s="7"/>
      <c r="M47" s="4"/>
      <c r="N47" s="4"/>
    </row>
    <row r="48" spans="2:14" x14ac:dyDescent="0.35">
      <c r="B48" s="8"/>
      <c r="J48" s="7"/>
      <c r="K48" s="7"/>
      <c r="L48" s="7"/>
      <c r="M48" s="4"/>
      <c r="N48" s="4"/>
    </row>
    <row r="49" spans="2:14" x14ac:dyDescent="0.35">
      <c r="B49" s="8"/>
      <c r="J49" s="7"/>
      <c r="K49" s="7"/>
      <c r="L49" s="7"/>
      <c r="M49" s="4"/>
      <c r="N49" s="4"/>
    </row>
    <row r="50" spans="2:14" x14ac:dyDescent="0.35">
      <c r="B50" s="8"/>
      <c r="J50" s="7"/>
      <c r="K50" s="7"/>
      <c r="L50" s="7"/>
      <c r="M50" s="4"/>
      <c r="N50" s="4"/>
    </row>
    <row r="51" spans="2:14" x14ac:dyDescent="0.35">
      <c r="B51" s="8"/>
      <c r="J51" s="7"/>
      <c r="K51" s="7"/>
      <c r="L51" s="7"/>
      <c r="M51" s="4"/>
      <c r="N51" s="4"/>
    </row>
    <row r="52" spans="2:14" x14ac:dyDescent="0.35">
      <c r="B52" s="8"/>
      <c r="J52" s="7"/>
      <c r="K52" s="7"/>
      <c r="L52" s="7"/>
      <c r="M52" s="4"/>
      <c r="N52" s="4"/>
    </row>
    <row r="53" spans="2:14" x14ac:dyDescent="0.35">
      <c r="B53" s="8"/>
      <c r="J53" s="7"/>
      <c r="K53" s="7"/>
      <c r="L53" s="7"/>
      <c r="M53" s="4"/>
      <c r="N53" s="4"/>
    </row>
    <row r="54" spans="2:14" x14ac:dyDescent="0.35">
      <c r="B54" s="8"/>
      <c r="J54" s="7"/>
      <c r="K54" s="7"/>
      <c r="L54" s="7"/>
      <c r="M54" s="4"/>
      <c r="N54" s="4"/>
    </row>
    <row r="55" spans="2:14" x14ac:dyDescent="0.35">
      <c r="B55" s="8"/>
      <c r="J55" s="7"/>
      <c r="K55" s="7"/>
      <c r="L55" s="7"/>
      <c r="M55" s="4"/>
      <c r="N55" s="4"/>
    </row>
    <row r="56" spans="2:14" x14ac:dyDescent="0.35">
      <c r="B56" s="8"/>
      <c r="J56" s="7"/>
      <c r="K56" s="7"/>
      <c r="L56" s="7"/>
      <c r="M56" s="4"/>
      <c r="N56" s="4"/>
    </row>
    <row r="57" spans="2:14" x14ac:dyDescent="0.35">
      <c r="B57" s="8"/>
      <c r="J57" s="7"/>
      <c r="K57" s="7"/>
      <c r="L57" s="7"/>
      <c r="M57" s="4"/>
      <c r="N57" s="4"/>
    </row>
    <row r="58" spans="2:14" x14ac:dyDescent="0.35">
      <c r="B58" s="8"/>
      <c r="J58" s="7"/>
      <c r="K58" s="7"/>
      <c r="L58" s="7"/>
      <c r="M58" s="4"/>
      <c r="N58" s="4"/>
    </row>
    <row r="59" spans="2:14" x14ac:dyDescent="0.35">
      <c r="B59" s="8"/>
      <c r="J59" s="7"/>
      <c r="K59" s="7"/>
      <c r="L59" s="7"/>
      <c r="M59" s="4"/>
      <c r="N59" s="4"/>
    </row>
    <row r="60" spans="2:14" x14ac:dyDescent="0.35">
      <c r="B60" s="8"/>
      <c r="J60" s="7"/>
      <c r="K60" s="7"/>
      <c r="L60" s="7"/>
      <c r="M60" s="4"/>
      <c r="N60" s="4"/>
    </row>
    <row r="61" spans="2:14" x14ac:dyDescent="0.35">
      <c r="B61" s="8"/>
      <c r="J61" s="7"/>
      <c r="K61" s="7"/>
      <c r="L61" s="7"/>
      <c r="M61" s="4"/>
      <c r="N61" s="4"/>
    </row>
    <row r="62" spans="2:14" x14ac:dyDescent="0.35">
      <c r="B62" s="8"/>
      <c r="J62" s="7"/>
      <c r="K62" s="7"/>
      <c r="L62" s="7"/>
      <c r="M62" s="4"/>
      <c r="N62" s="4"/>
    </row>
    <row r="63" spans="2:14" x14ac:dyDescent="0.35">
      <c r="B63" s="8"/>
      <c r="J63" s="7"/>
      <c r="K63" s="7"/>
      <c r="L63" s="7"/>
      <c r="M63" s="4"/>
      <c r="N63" s="4"/>
    </row>
    <row r="64" spans="2:14" x14ac:dyDescent="0.35">
      <c r="B64" s="8"/>
      <c r="J64" s="7"/>
      <c r="K64" s="7"/>
      <c r="L64" s="7"/>
      <c r="M64" s="4"/>
      <c r="N64" s="4"/>
    </row>
    <row r="65" spans="2:14" x14ac:dyDescent="0.35">
      <c r="B65" s="8"/>
      <c r="J65" s="7"/>
      <c r="K65" s="7"/>
      <c r="L65" s="7"/>
      <c r="M65" s="4"/>
      <c r="N65" s="4"/>
    </row>
    <row r="66" spans="2:14" x14ac:dyDescent="0.35">
      <c r="B66" s="8"/>
      <c r="J66" s="7"/>
      <c r="K66" s="7"/>
      <c r="L66" s="7"/>
      <c r="M66" s="4"/>
      <c r="N66" s="4"/>
    </row>
    <row r="67" spans="2:14" x14ac:dyDescent="0.35">
      <c r="B67" s="8"/>
      <c r="J67" s="7"/>
      <c r="K67" s="7"/>
      <c r="L67" s="7"/>
      <c r="M67" s="4"/>
      <c r="N67" s="4"/>
    </row>
    <row r="68" spans="2:14" x14ac:dyDescent="0.35">
      <c r="B68" s="8"/>
      <c r="J68" s="7"/>
      <c r="K68" s="7"/>
      <c r="L68" s="7"/>
      <c r="M68" s="4"/>
      <c r="N68" s="4"/>
    </row>
    <row r="69" spans="2:14" x14ac:dyDescent="0.35">
      <c r="B69" s="8"/>
      <c r="J69" s="7"/>
      <c r="K69" s="7"/>
      <c r="L69" s="7"/>
      <c r="M69" s="4"/>
      <c r="N69" s="4"/>
    </row>
    <row r="70" spans="2:14" x14ac:dyDescent="0.35">
      <c r="B70" s="8"/>
      <c r="J70" s="7"/>
      <c r="K70" s="7"/>
      <c r="L70" s="7"/>
      <c r="M70" s="4"/>
      <c r="N70" s="4"/>
    </row>
    <row r="71" spans="2:14" x14ac:dyDescent="0.35">
      <c r="B71" s="8"/>
      <c r="J71" s="7"/>
      <c r="K71" s="7"/>
      <c r="L71" s="7"/>
      <c r="M71" s="4"/>
      <c r="N71" s="4"/>
    </row>
    <row r="72" spans="2:14" x14ac:dyDescent="0.35">
      <c r="B72" s="8"/>
      <c r="J72" s="7"/>
      <c r="K72" s="7"/>
      <c r="L72" s="7"/>
      <c r="M72" s="4"/>
      <c r="N72" s="4"/>
    </row>
    <row r="73" spans="2:14" x14ac:dyDescent="0.35">
      <c r="B73" s="8"/>
      <c r="J73" s="7"/>
      <c r="K73" s="7"/>
      <c r="L73" s="7"/>
      <c r="M73" s="4"/>
      <c r="N73" s="4"/>
    </row>
    <row r="74" spans="2:14" x14ac:dyDescent="0.35">
      <c r="B74" s="8"/>
      <c r="J74" s="7"/>
      <c r="K74" s="7"/>
      <c r="L74" s="7"/>
      <c r="M74" s="4"/>
      <c r="N74" s="4"/>
    </row>
    <row r="75" spans="2:14" x14ac:dyDescent="0.35">
      <c r="B75" s="8"/>
      <c r="J75" s="7"/>
      <c r="K75" s="7"/>
      <c r="L75" s="7"/>
      <c r="M75" s="4"/>
      <c r="N75" s="4"/>
    </row>
    <row r="76" spans="2:14" x14ac:dyDescent="0.35">
      <c r="B76" s="8"/>
      <c r="J76" s="7"/>
      <c r="K76" s="7"/>
      <c r="L76" s="7"/>
      <c r="M76" s="4"/>
      <c r="N76" s="4"/>
    </row>
    <row r="77" spans="2:14" x14ac:dyDescent="0.35">
      <c r="B77" s="8"/>
      <c r="J77" s="7"/>
      <c r="K77" s="7"/>
      <c r="L77" s="7"/>
      <c r="M77" s="4"/>
      <c r="N77" s="4"/>
    </row>
    <row r="78" spans="2:14" x14ac:dyDescent="0.35">
      <c r="B78" s="8"/>
      <c r="J78" s="7"/>
      <c r="K78" s="7"/>
      <c r="L78" s="7"/>
      <c r="M78" s="4"/>
      <c r="N78" s="4"/>
    </row>
    <row r="79" spans="2:14" x14ac:dyDescent="0.35">
      <c r="B79" s="8"/>
      <c r="J79" s="7"/>
      <c r="K79" s="7"/>
      <c r="L79" s="7"/>
      <c r="M79" s="4"/>
      <c r="N79" s="4"/>
    </row>
    <row r="80" spans="2:14" x14ac:dyDescent="0.35">
      <c r="B80" s="8"/>
      <c r="J80" s="7"/>
      <c r="K80" s="7"/>
      <c r="L80" s="7"/>
      <c r="M80" s="4"/>
      <c r="N80" s="4"/>
    </row>
    <row r="81" spans="2:14" x14ac:dyDescent="0.35">
      <c r="B81" s="8"/>
      <c r="J81" s="7"/>
      <c r="K81" s="7"/>
      <c r="L81" s="7"/>
      <c r="M81" s="4"/>
      <c r="N81" s="4"/>
    </row>
    <row r="82" spans="2:14" x14ac:dyDescent="0.35">
      <c r="B82" s="8"/>
      <c r="J82" s="7"/>
      <c r="K82" s="7"/>
      <c r="L82" s="7"/>
      <c r="M82" s="4"/>
      <c r="N82" s="4"/>
    </row>
    <row r="83" spans="2:14" x14ac:dyDescent="0.35">
      <c r="B83" s="8"/>
      <c r="J83" s="7"/>
      <c r="K83" s="7"/>
      <c r="L83" s="7"/>
      <c r="M83" s="4"/>
      <c r="N83" s="4"/>
    </row>
    <row r="84" spans="2:14" x14ac:dyDescent="0.35">
      <c r="B84" s="8"/>
      <c r="J84" s="7"/>
      <c r="K84" s="7"/>
      <c r="L84" s="7"/>
      <c r="M84" s="4"/>
      <c r="N84" s="4"/>
    </row>
    <row r="85" spans="2:14" x14ac:dyDescent="0.35">
      <c r="B85" s="8"/>
      <c r="J85" s="7"/>
      <c r="K85" s="7"/>
      <c r="L85" s="7"/>
      <c r="M85" s="4"/>
      <c r="N85" s="4"/>
    </row>
    <row r="86" spans="2:14" x14ac:dyDescent="0.35">
      <c r="B86" s="8"/>
      <c r="J86" s="7"/>
      <c r="K86" s="7"/>
      <c r="L86" s="7"/>
      <c r="M86" s="4"/>
      <c r="N86" s="4"/>
    </row>
    <row r="87" spans="2:14" x14ac:dyDescent="0.35">
      <c r="B87" s="8"/>
      <c r="J87" s="7"/>
      <c r="K87" s="7"/>
      <c r="L87" s="7"/>
      <c r="M87" s="4"/>
      <c r="N87" s="4"/>
    </row>
    <row r="88" spans="2:14" x14ac:dyDescent="0.35">
      <c r="B88" s="8"/>
      <c r="J88" s="7"/>
      <c r="K88" s="7"/>
      <c r="L88" s="7"/>
      <c r="M88" s="4"/>
      <c r="N88" s="4"/>
    </row>
    <row r="89" spans="2:14" x14ac:dyDescent="0.35">
      <c r="B89" s="8"/>
      <c r="J89" s="7"/>
      <c r="K89" s="7"/>
      <c r="L89" s="7"/>
      <c r="M89" s="4"/>
      <c r="N89" s="4"/>
    </row>
    <row r="90" spans="2:14" x14ac:dyDescent="0.35">
      <c r="B90" s="8"/>
      <c r="J90" s="7"/>
      <c r="K90" s="7"/>
      <c r="L90" s="7"/>
      <c r="M90" s="4"/>
      <c r="N90" s="4"/>
    </row>
    <row r="91" spans="2:14" x14ac:dyDescent="0.35">
      <c r="B91" s="8"/>
      <c r="J91" s="7"/>
      <c r="K91" s="7"/>
      <c r="L91" s="7"/>
      <c r="M91" s="4"/>
      <c r="N91" s="4"/>
    </row>
    <row r="92" spans="2:14" x14ac:dyDescent="0.35">
      <c r="B92" s="8"/>
      <c r="J92" s="7"/>
      <c r="K92" s="7"/>
      <c r="L92" s="7"/>
      <c r="M92" s="4"/>
      <c r="N92" s="4"/>
    </row>
    <row r="93" spans="2:14" x14ac:dyDescent="0.35">
      <c r="B93" s="8"/>
      <c r="J93" s="7"/>
      <c r="K93" s="7"/>
      <c r="L93" s="7"/>
      <c r="M93" s="4"/>
      <c r="N93" s="4"/>
    </row>
    <row r="94" spans="2:14" x14ac:dyDescent="0.35">
      <c r="B94" s="8"/>
      <c r="J94" s="7"/>
      <c r="K94" s="7"/>
      <c r="L94" s="7"/>
      <c r="M94" s="4"/>
      <c r="N94" s="4"/>
    </row>
    <row r="95" spans="2:14" x14ac:dyDescent="0.35">
      <c r="B95" s="8"/>
      <c r="J95" s="7"/>
      <c r="K95" s="7"/>
      <c r="L95" s="7"/>
      <c r="M95" s="4"/>
      <c r="N95" s="4"/>
    </row>
    <row r="96" spans="2:14" x14ac:dyDescent="0.35">
      <c r="B96" s="8"/>
      <c r="J96" s="7"/>
      <c r="K96" s="7"/>
      <c r="L96" s="7"/>
      <c r="M96" s="4"/>
      <c r="N96" s="4"/>
    </row>
    <row r="97" spans="2:14" x14ac:dyDescent="0.35">
      <c r="B97" s="8"/>
      <c r="J97" s="7"/>
      <c r="K97" s="7"/>
      <c r="L97" s="7"/>
      <c r="M97" s="4"/>
      <c r="N97" s="4"/>
    </row>
    <row r="98" spans="2:14" x14ac:dyDescent="0.35">
      <c r="B98" s="8"/>
      <c r="J98" s="7"/>
      <c r="K98" s="7"/>
      <c r="L98" s="7"/>
      <c r="M98" s="4"/>
      <c r="N98" s="4"/>
    </row>
    <row r="99" spans="2:14" x14ac:dyDescent="0.35">
      <c r="B99" s="8"/>
      <c r="J99" s="7"/>
      <c r="K99" s="7"/>
      <c r="L99" s="7"/>
      <c r="M99" s="4"/>
      <c r="N99" s="4"/>
    </row>
    <row r="100" spans="2:14" x14ac:dyDescent="0.35">
      <c r="B100" s="8"/>
      <c r="J100" s="7"/>
      <c r="K100" s="7"/>
      <c r="L100" s="7"/>
      <c r="M100" s="4"/>
      <c r="N100" s="4"/>
    </row>
    <row r="101" spans="2:14" x14ac:dyDescent="0.35">
      <c r="B101" s="8"/>
      <c r="J101" s="7"/>
      <c r="K101" s="7"/>
      <c r="L101" s="7"/>
      <c r="M101" s="4"/>
      <c r="N101" s="4"/>
    </row>
    <row r="102" spans="2:14" x14ac:dyDescent="0.35">
      <c r="B102" s="8"/>
      <c r="J102" s="7"/>
      <c r="K102" s="7"/>
      <c r="L102" s="7"/>
      <c r="M102" s="4"/>
      <c r="N102" s="4"/>
    </row>
    <row r="103" spans="2:14" x14ac:dyDescent="0.35">
      <c r="B103" s="8"/>
      <c r="J103" s="7"/>
      <c r="K103" s="7"/>
      <c r="L103" s="7"/>
      <c r="M103" s="4"/>
      <c r="N103" s="4"/>
    </row>
    <row r="104" spans="2:14" x14ac:dyDescent="0.35">
      <c r="B104" s="8"/>
      <c r="J104" s="7"/>
      <c r="K104" s="7"/>
      <c r="L104" s="7"/>
      <c r="M104" s="4"/>
      <c r="N104" s="4"/>
    </row>
  </sheetData>
  <mergeCells count="1">
    <mergeCell ref="D2:I2"/>
  </mergeCells>
  <pageMargins left="0.70866141732283472" right="0.70866141732283472" top="0.74803149606299213" bottom="0.74803149606299213" header="0.31496062992125984" footer="0.31496062992125984"/>
  <pageSetup paperSize="9" scale="71" fitToWidth="0" orientation="landscape" r:id="rId1"/>
  <headerFooter>
    <oddFooter>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DDD8-F190-48FD-A882-95C4C7A3E7B0}">
  <dimension ref="B2:G3"/>
  <sheetViews>
    <sheetView zoomScale="110" zoomScaleNormal="110" workbookViewId="0"/>
  </sheetViews>
  <sheetFormatPr defaultColWidth="12.26953125" defaultRowHeight="14.5" x14ac:dyDescent="0.35"/>
  <cols>
    <col min="1" max="1" width="2.26953125" style="1" customWidth="1"/>
    <col min="2" max="2" width="12.08984375" style="5" customWidth="1"/>
    <col min="3" max="16384" width="12.26953125" style="1"/>
  </cols>
  <sheetData>
    <row r="2" spans="2:7" s="2" customFormat="1" ht="58" customHeight="1" x14ac:dyDescent="0.35">
      <c r="B2" s="11" t="s">
        <v>56</v>
      </c>
      <c r="C2" s="11" t="s">
        <v>9</v>
      </c>
      <c r="D2" s="11" t="s">
        <v>57</v>
      </c>
      <c r="E2" s="11" t="s">
        <v>58</v>
      </c>
      <c r="F2" s="11" t="s">
        <v>59</v>
      </c>
      <c r="G2" s="11" t="s">
        <v>60</v>
      </c>
    </row>
    <row r="3" spans="2:7" x14ac:dyDescent="0.35">
      <c r="B3" s="83" t="s">
        <v>50</v>
      </c>
      <c r="C3" s="83">
        <v>50</v>
      </c>
      <c r="D3" s="83">
        <v>600</v>
      </c>
      <c r="E3" s="83">
        <v>1200</v>
      </c>
      <c r="F3" s="84">
        <f>((PI()*(D3+C3)*0.001*E3*0.001)+(2*1.084*(D3+C3)*0.001*(D3+C3)*0.001))*1.1</f>
        <v>3.7030644967800423</v>
      </c>
      <c r="G3" s="84">
        <f>((PI()*(D3+(2*C3))*0.001*E3*0.001)+(2*1.084*(D3+(2*C3))*0.001*(D3+(2*C3))*0.001))*1.1</f>
        <v>4.0713836119169686</v>
      </c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6EC2-3AB6-45A9-898B-1A2304A1CCD3}">
  <sheetPr>
    <pageSetUpPr fitToPage="1"/>
  </sheetPr>
  <dimension ref="B2:L108"/>
  <sheetViews>
    <sheetView zoomScale="110" zoomScaleNormal="11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12.26953125" defaultRowHeight="14.5" x14ac:dyDescent="0.35"/>
  <cols>
    <col min="1" max="1" width="2.26953125" style="1" customWidth="1"/>
    <col min="2" max="2" width="12.08984375" style="1" customWidth="1"/>
    <col min="3" max="3" width="12.26953125" style="1"/>
    <col min="4" max="4" width="5" style="6" customWidth="1"/>
    <col min="5" max="5" width="12.26953125" style="1"/>
    <col min="6" max="6" width="5" style="6" customWidth="1"/>
    <col min="7" max="7" width="12.26953125" style="1"/>
    <col min="8" max="9" width="12.26953125" style="1" customWidth="1"/>
    <col min="10" max="16384" width="12.26953125" style="1"/>
  </cols>
  <sheetData>
    <row r="2" spans="2:12" s="3" customFormat="1" ht="58" customHeight="1" x14ac:dyDescent="0.35">
      <c r="B2" s="85" t="s">
        <v>7</v>
      </c>
      <c r="C2" s="86" t="s">
        <v>9</v>
      </c>
      <c r="D2" s="87" t="s">
        <v>69</v>
      </c>
      <c r="E2" s="87"/>
      <c r="F2" s="87"/>
      <c r="G2" s="87"/>
      <c r="H2" s="86" t="s">
        <v>68</v>
      </c>
      <c r="I2" s="86" t="s">
        <v>62</v>
      </c>
      <c r="J2" s="86" t="s">
        <v>61</v>
      </c>
      <c r="K2" s="9"/>
      <c r="L2" s="10"/>
    </row>
    <row r="3" spans="2:12" x14ac:dyDescent="0.35">
      <c r="B3" s="88" t="s">
        <v>67</v>
      </c>
      <c r="C3" s="89">
        <v>50</v>
      </c>
      <c r="D3" s="90" t="s">
        <v>10</v>
      </c>
      <c r="E3" s="91">
        <v>45</v>
      </c>
      <c r="F3" s="64" t="s">
        <v>6</v>
      </c>
      <c r="G3" s="92">
        <v>46000</v>
      </c>
      <c r="H3" s="93">
        <f t="shared" ref="H3:H10" si="0">PI()*(E3*0.001)*(G3*0.001)</f>
        <v>6.5030967929308723</v>
      </c>
      <c r="I3" s="93">
        <f t="shared" ref="I3:I10" si="1">PI()*((E3+C3)*0.001)*(G3*0.001)</f>
        <v>13.728759896187395</v>
      </c>
      <c r="J3" s="93">
        <f t="shared" ref="J3:J10" si="2">PI()*((E3+(2*C3))*0.001)*(G3*0.001)</f>
        <v>20.954422999443921</v>
      </c>
      <c r="K3" s="4"/>
      <c r="L3" s="4"/>
    </row>
    <row r="4" spans="2:12" x14ac:dyDescent="0.35">
      <c r="B4" s="94" t="s">
        <v>70</v>
      </c>
      <c r="C4" s="95">
        <v>50</v>
      </c>
      <c r="D4" s="96" t="s">
        <v>10</v>
      </c>
      <c r="E4" s="97">
        <v>57</v>
      </c>
      <c r="F4" s="98" t="s">
        <v>6</v>
      </c>
      <c r="G4" s="99">
        <v>65000</v>
      </c>
      <c r="H4" s="100">
        <f t="shared" si="0"/>
        <v>11.639600781550184</v>
      </c>
      <c r="I4" s="100">
        <f t="shared" si="1"/>
        <v>21.849776905717011</v>
      </c>
      <c r="J4" s="100">
        <f t="shared" si="2"/>
        <v>32.059953029883843</v>
      </c>
      <c r="K4" s="4"/>
      <c r="L4" s="4"/>
    </row>
    <row r="5" spans="2:12" x14ac:dyDescent="0.35">
      <c r="B5" s="94" t="s">
        <v>71</v>
      </c>
      <c r="C5" s="95">
        <v>50</v>
      </c>
      <c r="D5" s="96" t="s">
        <v>10</v>
      </c>
      <c r="E5" s="97">
        <v>76</v>
      </c>
      <c r="F5" s="98" t="s">
        <v>6</v>
      </c>
      <c r="G5" s="99">
        <v>45000</v>
      </c>
      <c r="H5" s="100">
        <f t="shared" si="0"/>
        <v>10.744246875277092</v>
      </c>
      <c r="I5" s="100">
        <f t="shared" si="1"/>
        <v>17.812830345854128</v>
      </c>
      <c r="J5" s="100">
        <f t="shared" si="2"/>
        <v>24.881413816431159</v>
      </c>
      <c r="K5" s="4"/>
      <c r="L5" s="4"/>
    </row>
    <row r="6" spans="2:12" x14ac:dyDescent="0.35">
      <c r="B6" s="94" t="s">
        <v>72</v>
      </c>
      <c r="C6" s="95">
        <v>50</v>
      </c>
      <c r="D6" s="96" t="s">
        <v>10</v>
      </c>
      <c r="E6" s="97">
        <v>89</v>
      </c>
      <c r="F6" s="98" t="s">
        <v>6</v>
      </c>
      <c r="G6" s="99">
        <v>175000</v>
      </c>
      <c r="H6" s="100">
        <f t="shared" si="0"/>
        <v>48.930305579661024</v>
      </c>
      <c r="I6" s="100">
        <f t="shared" si="1"/>
        <v>76.41924129857172</v>
      </c>
      <c r="J6" s="100">
        <f t="shared" si="2"/>
        <v>103.90817701748242</v>
      </c>
      <c r="K6" s="4"/>
      <c r="L6" s="4"/>
    </row>
    <row r="7" spans="2:12" x14ac:dyDescent="0.35">
      <c r="B7" s="94" t="s">
        <v>73</v>
      </c>
      <c r="C7" s="95">
        <v>50</v>
      </c>
      <c r="D7" s="96" t="s">
        <v>10</v>
      </c>
      <c r="E7" s="97">
        <v>108</v>
      </c>
      <c r="F7" s="98" t="s">
        <v>6</v>
      </c>
      <c r="G7" s="99">
        <v>2000</v>
      </c>
      <c r="H7" s="100">
        <f t="shared" si="0"/>
        <v>0.6785840131753953</v>
      </c>
      <c r="I7" s="100">
        <f t="shared" si="1"/>
        <v>0.99274327853437461</v>
      </c>
      <c r="J7" s="100">
        <f t="shared" si="2"/>
        <v>1.3069025438933541</v>
      </c>
      <c r="K7" s="4"/>
      <c r="L7" s="4"/>
    </row>
    <row r="8" spans="2:12" x14ac:dyDescent="0.35">
      <c r="B8" s="94" t="s">
        <v>74</v>
      </c>
      <c r="C8" s="95">
        <v>50</v>
      </c>
      <c r="D8" s="96" t="s">
        <v>10</v>
      </c>
      <c r="E8" s="97">
        <v>133</v>
      </c>
      <c r="F8" s="98" t="s">
        <v>6</v>
      </c>
      <c r="G8" s="99">
        <v>40000</v>
      </c>
      <c r="H8" s="100">
        <f t="shared" si="0"/>
        <v>16.713272917097701</v>
      </c>
      <c r="I8" s="100">
        <f t="shared" si="1"/>
        <v>22.996458224277283</v>
      </c>
      <c r="J8" s="100">
        <f t="shared" si="2"/>
        <v>29.27964353145687</v>
      </c>
      <c r="K8" s="4"/>
      <c r="L8" s="4"/>
    </row>
    <row r="9" spans="2:12" x14ac:dyDescent="0.35">
      <c r="B9" s="94" t="s">
        <v>75</v>
      </c>
      <c r="C9" s="95">
        <v>50</v>
      </c>
      <c r="D9" s="96" t="s">
        <v>10</v>
      </c>
      <c r="E9" s="97">
        <v>159</v>
      </c>
      <c r="F9" s="98" t="s">
        <v>6</v>
      </c>
      <c r="G9" s="99">
        <v>16000</v>
      </c>
      <c r="H9" s="100">
        <f t="shared" si="0"/>
        <v>7.992211710732434</v>
      </c>
      <c r="I9" s="100">
        <f t="shared" si="1"/>
        <v>10.505485833604268</v>
      </c>
      <c r="J9" s="100">
        <f t="shared" si="2"/>
        <v>13.018759956476103</v>
      </c>
      <c r="K9" s="4"/>
      <c r="L9" s="4"/>
    </row>
    <row r="10" spans="2:12" x14ac:dyDescent="0.35">
      <c r="B10" s="101" t="s">
        <v>76</v>
      </c>
      <c r="C10" s="80">
        <v>50</v>
      </c>
      <c r="D10" s="81" t="s">
        <v>10</v>
      </c>
      <c r="E10" s="102">
        <v>219</v>
      </c>
      <c r="F10" s="69" t="s">
        <v>6</v>
      </c>
      <c r="G10" s="103">
        <v>5000</v>
      </c>
      <c r="H10" s="104">
        <f t="shared" si="0"/>
        <v>3.4400439556808231</v>
      </c>
      <c r="I10" s="104">
        <f t="shared" si="1"/>
        <v>4.2254421190782718</v>
      </c>
      <c r="J10" s="104">
        <f t="shared" si="2"/>
        <v>5.0108402824757201</v>
      </c>
      <c r="K10" s="4"/>
      <c r="L10" s="4"/>
    </row>
    <row r="11" spans="2:12" x14ac:dyDescent="0.35">
      <c r="B11" s="105"/>
      <c r="C11" s="106"/>
      <c r="D11" s="107"/>
      <c r="E11" s="106"/>
      <c r="F11" s="107"/>
      <c r="G11" s="108" t="s">
        <v>49</v>
      </c>
      <c r="H11" s="109">
        <f>SUM(H3:H10)</f>
        <v>106.64136262610552</v>
      </c>
      <c r="I11" s="109">
        <f>SUM(I3:I10)</f>
        <v>168.53073790182447</v>
      </c>
      <c r="J11" s="109">
        <f>SUM(J3:J10)</f>
        <v>230.42011317754339</v>
      </c>
      <c r="K11" s="4"/>
      <c r="L11" s="4"/>
    </row>
    <row r="12" spans="2:12" x14ac:dyDescent="0.35">
      <c r="B12" s="8"/>
      <c r="H12" s="7"/>
      <c r="I12" s="7"/>
      <c r="J12" s="7"/>
      <c r="K12" s="4"/>
      <c r="L12" s="4"/>
    </row>
    <row r="13" spans="2:12" x14ac:dyDescent="0.35">
      <c r="B13" s="8"/>
      <c r="H13" s="7"/>
      <c r="I13" s="7"/>
      <c r="J13" s="7"/>
      <c r="K13" s="4"/>
      <c r="L13" s="4"/>
    </row>
    <row r="14" spans="2:12" x14ac:dyDescent="0.35">
      <c r="B14" s="8"/>
      <c r="H14" s="7"/>
      <c r="I14" s="7"/>
      <c r="J14" s="7"/>
      <c r="K14" s="4"/>
      <c r="L14" s="4"/>
    </row>
    <row r="15" spans="2:12" x14ac:dyDescent="0.35">
      <c r="B15" s="8"/>
      <c r="H15" s="7"/>
      <c r="I15" s="7"/>
      <c r="J15" s="7"/>
      <c r="K15" s="4"/>
      <c r="L15" s="4"/>
    </row>
    <row r="16" spans="2:12" x14ac:dyDescent="0.35">
      <c r="B16" s="8"/>
      <c r="H16" s="7"/>
      <c r="I16" s="7"/>
      <c r="J16" s="7"/>
      <c r="K16" s="4"/>
      <c r="L16" s="4"/>
    </row>
    <row r="17" spans="2:12" x14ac:dyDescent="0.35">
      <c r="B17" s="8"/>
      <c r="H17" s="7"/>
      <c r="I17" s="7"/>
      <c r="J17" s="7"/>
      <c r="K17" s="4"/>
      <c r="L17" s="4"/>
    </row>
    <row r="18" spans="2:12" x14ac:dyDescent="0.35">
      <c r="B18" s="8"/>
      <c r="H18" s="7"/>
      <c r="I18" s="7"/>
      <c r="J18" s="7"/>
      <c r="K18" s="4"/>
      <c r="L18" s="4"/>
    </row>
    <row r="19" spans="2:12" x14ac:dyDescent="0.35">
      <c r="B19" s="8"/>
      <c r="H19" s="7"/>
      <c r="I19" s="7"/>
      <c r="J19" s="7"/>
      <c r="K19" s="4"/>
      <c r="L19" s="4"/>
    </row>
    <row r="20" spans="2:12" x14ac:dyDescent="0.35">
      <c r="B20" s="8"/>
      <c r="H20" s="7"/>
      <c r="I20" s="7"/>
      <c r="J20" s="7"/>
      <c r="K20" s="4"/>
      <c r="L20" s="4"/>
    </row>
    <row r="21" spans="2:12" x14ac:dyDescent="0.35">
      <c r="B21" s="8"/>
      <c r="H21" s="7"/>
      <c r="I21" s="7"/>
      <c r="J21" s="7"/>
      <c r="K21" s="4"/>
      <c r="L21" s="4"/>
    </row>
    <row r="22" spans="2:12" x14ac:dyDescent="0.35">
      <c r="B22" s="8"/>
      <c r="H22" s="7"/>
      <c r="I22" s="7"/>
      <c r="J22" s="7"/>
      <c r="K22" s="4"/>
      <c r="L22" s="4"/>
    </row>
    <row r="23" spans="2:12" x14ac:dyDescent="0.35">
      <c r="B23" s="8"/>
      <c r="H23" s="7"/>
      <c r="I23" s="7"/>
      <c r="J23" s="7"/>
      <c r="K23" s="4"/>
      <c r="L23" s="4"/>
    </row>
    <row r="24" spans="2:12" x14ac:dyDescent="0.35">
      <c r="B24" s="8"/>
      <c r="H24" s="7"/>
      <c r="I24" s="7"/>
      <c r="J24" s="7"/>
      <c r="K24" s="4"/>
      <c r="L24" s="4"/>
    </row>
    <row r="25" spans="2:12" x14ac:dyDescent="0.35">
      <c r="B25" s="8"/>
      <c r="H25" s="7"/>
      <c r="I25" s="7"/>
      <c r="J25" s="7"/>
      <c r="K25" s="4"/>
      <c r="L25" s="4"/>
    </row>
    <row r="26" spans="2:12" x14ac:dyDescent="0.35">
      <c r="B26" s="8"/>
      <c r="H26" s="7"/>
      <c r="I26" s="7"/>
      <c r="J26" s="7"/>
      <c r="K26" s="4"/>
      <c r="L26" s="4"/>
    </row>
    <row r="27" spans="2:12" x14ac:dyDescent="0.35">
      <c r="B27" s="8"/>
      <c r="H27" s="7"/>
      <c r="I27" s="7"/>
      <c r="J27" s="7"/>
      <c r="K27" s="4"/>
      <c r="L27" s="4"/>
    </row>
    <row r="28" spans="2:12" x14ac:dyDescent="0.35">
      <c r="B28" s="8"/>
      <c r="H28" s="7"/>
      <c r="I28" s="7"/>
      <c r="J28" s="7"/>
      <c r="K28" s="4"/>
      <c r="L28" s="4"/>
    </row>
    <row r="29" spans="2:12" x14ac:dyDescent="0.35">
      <c r="B29" s="8"/>
      <c r="H29" s="7"/>
      <c r="I29" s="7"/>
      <c r="J29" s="7"/>
      <c r="K29" s="4"/>
      <c r="L29" s="4"/>
    </row>
    <row r="30" spans="2:12" x14ac:dyDescent="0.35">
      <c r="B30" s="8"/>
      <c r="H30" s="7"/>
      <c r="I30" s="7"/>
      <c r="J30" s="7"/>
      <c r="K30" s="4"/>
      <c r="L30" s="4"/>
    </row>
    <row r="31" spans="2:12" x14ac:dyDescent="0.35">
      <c r="B31" s="8"/>
      <c r="H31" s="7"/>
      <c r="I31" s="7"/>
      <c r="J31" s="7"/>
      <c r="K31" s="4"/>
      <c r="L31" s="4"/>
    </row>
    <row r="32" spans="2:12" x14ac:dyDescent="0.35">
      <c r="B32" s="8"/>
      <c r="H32" s="7"/>
      <c r="I32" s="7"/>
      <c r="J32" s="7"/>
      <c r="K32" s="4"/>
      <c r="L32" s="4"/>
    </row>
    <row r="33" spans="2:12" x14ac:dyDescent="0.35">
      <c r="B33" s="8"/>
      <c r="H33" s="7"/>
      <c r="I33" s="7"/>
      <c r="J33" s="7"/>
      <c r="K33" s="4"/>
      <c r="L33" s="4"/>
    </row>
    <row r="34" spans="2:12" x14ac:dyDescent="0.35">
      <c r="B34" s="8"/>
      <c r="H34" s="7"/>
      <c r="I34" s="7"/>
      <c r="J34" s="7"/>
      <c r="K34" s="4"/>
      <c r="L34" s="4"/>
    </row>
    <row r="35" spans="2:12" x14ac:dyDescent="0.35">
      <c r="B35" s="8"/>
      <c r="H35" s="7"/>
      <c r="I35" s="7"/>
      <c r="J35" s="7"/>
      <c r="K35" s="4"/>
      <c r="L35" s="4"/>
    </row>
    <row r="36" spans="2:12" x14ac:dyDescent="0.35">
      <c r="B36" s="8"/>
      <c r="H36" s="7"/>
      <c r="I36" s="7"/>
      <c r="J36" s="7"/>
      <c r="K36" s="4"/>
      <c r="L36" s="4"/>
    </row>
    <row r="37" spans="2:12" x14ac:dyDescent="0.35">
      <c r="B37" s="8"/>
      <c r="H37" s="7"/>
      <c r="I37" s="7"/>
      <c r="J37" s="7"/>
      <c r="K37" s="4"/>
      <c r="L37" s="4"/>
    </row>
    <row r="38" spans="2:12" x14ac:dyDescent="0.35">
      <c r="B38" s="8"/>
      <c r="H38" s="7"/>
      <c r="I38" s="7"/>
      <c r="J38" s="7"/>
      <c r="K38" s="4"/>
      <c r="L38" s="4"/>
    </row>
    <row r="39" spans="2:12" x14ac:dyDescent="0.35">
      <c r="B39" s="8"/>
      <c r="H39" s="7"/>
      <c r="I39" s="7"/>
      <c r="J39" s="7"/>
      <c r="K39" s="4"/>
      <c r="L39" s="4"/>
    </row>
    <row r="40" spans="2:12" x14ac:dyDescent="0.35">
      <c r="B40" s="8"/>
      <c r="H40" s="7"/>
      <c r="I40" s="7"/>
      <c r="J40" s="7"/>
      <c r="K40" s="4"/>
      <c r="L40" s="4"/>
    </row>
    <row r="41" spans="2:12" x14ac:dyDescent="0.35">
      <c r="B41" s="8"/>
      <c r="H41" s="7"/>
      <c r="I41" s="7"/>
      <c r="J41" s="7"/>
      <c r="K41" s="4"/>
      <c r="L41" s="4"/>
    </row>
    <row r="42" spans="2:12" x14ac:dyDescent="0.35">
      <c r="B42" s="8"/>
      <c r="H42" s="7"/>
      <c r="I42" s="7"/>
      <c r="J42" s="7"/>
      <c r="K42" s="4"/>
      <c r="L42" s="4"/>
    </row>
    <row r="43" spans="2:12" x14ac:dyDescent="0.35">
      <c r="B43" s="8"/>
      <c r="H43" s="7"/>
      <c r="I43" s="7"/>
      <c r="J43" s="7"/>
      <c r="K43" s="4"/>
      <c r="L43" s="4"/>
    </row>
    <row r="44" spans="2:12" x14ac:dyDescent="0.35">
      <c r="B44" s="8"/>
      <c r="H44" s="7"/>
      <c r="I44" s="7"/>
      <c r="J44" s="7"/>
      <c r="K44" s="4"/>
      <c r="L44" s="4"/>
    </row>
    <row r="45" spans="2:12" x14ac:dyDescent="0.35">
      <c r="B45" s="8"/>
      <c r="H45" s="7"/>
      <c r="I45" s="7"/>
      <c r="J45" s="7"/>
      <c r="K45" s="4"/>
      <c r="L45" s="4"/>
    </row>
    <row r="46" spans="2:12" x14ac:dyDescent="0.35">
      <c r="B46" s="8"/>
      <c r="H46" s="7"/>
      <c r="I46" s="7"/>
      <c r="J46" s="7"/>
      <c r="K46" s="4"/>
      <c r="L46" s="4"/>
    </row>
    <row r="47" spans="2:12" x14ac:dyDescent="0.35">
      <c r="B47" s="8"/>
      <c r="H47" s="7"/>
      <c r="I47" s="7"/>
      <c r="J47" s="7"/>
      <c r="K47" s="4"/>
      <c r="L47" s="4"/>
    </row>
    <row r="48" spans="2:12" x14ac:dyDescent="0.35">
      <c r="B48" s="8"/>
      <c r="H48" s="7"/>
      <c r="I48" s="7"/>
      <c r="J48" s="7"/>
      <c r="K48" s="4"/>
      <c r="L48" s="4"/>
    </row>
    <row r="49" spans="2:12" x14ac:dyDescent="0.35">
      <c r="B49" s="8"/>
      <c r="H49" s="7"/>
      <c r="I49" s="7"/>
      <c r="J49" s="7"/>
      <c r="K49" s="4"/>
      <c r="L49" s="4"/>
    </row>
    <row r="50" spans="2:12" x14ac:dyDescent="0.35">
      <c r="B50" s="8"/>
      <c r="H50" s="7"/>
      <c r="I50" s="7"/>
      <c r="J50" s="7"/>
      <c r="K50" s="4"/>
      <c r="L50" s="4"/>
    </row>
    <row r="51" spans="2:12" x14ac:dyDescent="0.35">
      <c r="B51" s="8"/>
      <c r="H51" s="7"/>
      <c r="I51" s="7"/>
      <c r="J51" s="7"/>
      <c r="K51" s="4"/>
      <c r="L51" s="4"/>
    </row>
    <row r="52" spans="2:12" x14ac:dyDescent="0.35">
      <c r="B52" s="8"/>
      <c r="H52" s="7"/>
      <c r="I52" s="7"/>
      <c r="J52" s="7"/>
      <c r="K52" s="4"/>
      <c r="L52" s="4"/>
    </row>
    <row r="53" spans="2:12" x14ac:dyDescent="0.35">
      <c r="B53" s="8"/>
      <c r="H53" s="7"/>
      <c r="I53" s="7"/>
      <c r="J53" s="7"/>
      <c r="K53" s="4"/>
      <c r="L53" s="4"/>
    </row>
    <row r="54" spans="2:12" x14ac:dyDescent="0.35">
      <c r="B54" s="8"/>
      <c r="H54" s="7"/>
      <c r="I54" s="7"/>
      <c r="J54" s="7"/>
      <c r="K54" s="4"/>
      <c r="L54" s="4"/>
    </row>
    <row r="55" spans="2:12" x14ac:dyDescent="0.35">
      <c r="B55" s="8"/>
      <c r="H55" s="7"/>
      <c r="I55" s="7"/>
      <c r="J55" s="7"/>
      <c r="K55" s="4"/>
      <c r="L55" s="4"/>
    </row>
    <row r="56" spans="2:12" x14ac:dyDescent="0.35">
      <c r="B56" s="8"/>
      <c r="H56" s="7"/>
      <c r="I56" s="7"/>
      <c r="J56" s="7"/>
      <c r="K56" s="4"/>
      <c r="L56" s="4"/>
    </row>
    <row r="57" spans="2:12" x14ac:dyDescent="0.35">
      <c r="B57" s="8"/>
      <c r="H57" s="7"/>
      <c r="I57" s="7"/>
      <c r="J57" s="7"/>
      <c r="K57" s="4"/>
      <c r="L57" s="4"/>
    </row>
    <row r="58" spans="2:12" x14ac:dyDescent="0.35">
      <c r="B58" s="8"/>
      <c r="H58" s="7"/>
      <c r="I58" s="7"/>
      <c r="J58" s="7"/>
      <c r="K58" s="4"/>
      <c r="L58" s="4"/>
    </row>
    <row r="59" spans="2:12" x14ac:dyDescent="0.35">
      <c r="B59" s="8"/>
      <c r="H59" s="7"/>
      <c r="I59" s="7"/>
      <c r="J59" s="7"/>
      <c r="K59" s="4"/>
      <c r="L59" s="4"/>
    </row>
    <row r="60" spans="2:12" x14ac:dyDescent="0.35">
      <c r="B60" s="8"/>
      <c r="H60" s="7"/>
      <c r="I60" s="7"/>
      <c r="J60" s="7"/>
      <c r="K60" s="4"/>
      <c r="L60" s="4"/>
    </row>
    <row r="61" spans="2:12" x14ac:dyDescent="0.35">
      <c r="B61" s="8"/>
      <c r="H61" s="7"/>
      <c r="I61" s="7"/>
      <c r="J61" s="7"/>
      <c r="K61" s="4"/>
      <c r="L61" s="4"/>
    </row>
    <row r="62" spans="2:12" x14ac:dyDescent="0.35">
      <c r="B62" s="8"/>
      <c r="H62" s="7"/>
      <c r="I62" s="7"/>
      <c r="J62" s="7"/>
      <c r="K62" s="4"/>
      <c r="L62" s="4"/>
    </row>
    <row r="63" spans="2:12" x14ac:dyDescent="0.35">
      <c r="B63" s="8"/>
      <c r="H63" s="7"/>
      <c r="I63" s="7"/>
      <c r="J63" s="7"/>
      <c r="K63" s="4"/>
      <c r="L63" s="4"/>
    </row>
    <row r="64" spans="2:12" x14ac:dyDescent="0.35">
      <c r="B64" s="8"/>
      <c r="H64" s="7"/>
      <c r="I64" s="7"/>
      <c r="J64" s="7"/>
      <c r="K64" s="4"/>
      <c r="L64" s="4"/>
    </row>
    <row r="65" spans="2:12" x14ac:dyDescent="0.35">
      <c r="B65" s="8"/>
      <c r="H65" s="7"/>
      <c r="I65" s="7"/>
      <c r="J65" s="7"/>
      <c r="K65" s="4"/>
      <c r="L65" s="4"/>
    </row>
    <row r="66" spans="2:12" x14ac:dyDescent="0.35">
      <c r="B66" s="8"/>
      <c r="H66" s="7"/>
      <c r="I66" s="7"/>
      <c r="J66" s="7"/>
      <c r="K66" s="4"/>
      <c r="L66" s="4"/>
    </row>
    <row r="67" spans="2:12" x14ac:dyDescent="0.35">
      <c r="B67" s="8"/>
      <c r="H67" s="7"/>
      <c r="I67" s="7"/>
      <c r="J67" s="7"/>
      <c r="K67" s="4"/>
      <c r="L67" s="4"/>
    </row>
    <row r="68" spans="2:12" x14ac:dyDescent="0.35">
      <c r="B68" s="8"/>
      <c r="H68" s="7"/>
      <c r="I68" s="7"/>
      <c r="J68" s="7"/>
      <c r="K68" s="4"/>
      <c r="L68" s="4"/>
    </row>
    <row r="69" spans="2:12" x14ac:dyDescent="0.35">
      <c r="B69" s="8"/>
      <c r="H69" s="7"/>
      <c r="I69" s="7"/>
      <c r="J69" s="7"/>
      <c r="K69" s="4"/>
      <c r="L69" s="4"/>
    </row>
    <row r="70" spans="2:12" x14ac:dyDescent="0.35">
      <c r="B70" s="8"/>
      <c r="H70" s="7"/>
      <c r="I70" s="7"/>
      <c r="J70" s="7"/>
      <c r="K70" s="4"/>
      <c r="L70" s="4"/>
    </row>
    <row r="71" spans="2:12" x14ac:dyDescent="0.35">
      <c r="B71" s="8"/>
      <c r="H71" s="7"/>
      <c r="I71" s="7"/>
      <c r="J71" s="7"/>
      <c r="K71" s="4"/>
      <c r="L71" s="4"/>
    </row>
    <row r="72" spans="2:12" x14ac:dyDescent="0.35">
      <c r="B72" s="8"/>
      <c r="H72" s="7"/>
      <c r="I72" s="7"/>
      <c r="J72" s="7"/>
      <c r="K72" s="4"/>
      <c r="L72" s="4"/>
    </row>
    <row r="73" spans="2:12" x14ac:dyDescent="0.35">
      <c r="B73" s="8"/>
      <c r="H73" s="7"/>
      <c r="I73" s="7"/>
      <c r="J73" s="7"/>
      <c r="K73" s="4"/>
      <c r="L73" s="4"/>
    </row>
    <row r="74" spans="2:12" x14ac:dyDescent="0.35">
      <c r="B74" s="8"/>
      <c r="H74" s="7"/>
      <c r="I74" s="7"/>
      <c r="J74" s="7"/>
      <c r="K74" s="4"/>
      <c r="L74" s="4"/>
    </row>
    <row r="75" spans="2:12" x14ac:dyDescent="0.35">
      <c r="B75" s="8"/>
      <c r="H75" s="7"/>
      <c r="I75" s="7"/>
      <c r="J75" s="7"/>
      <c r="K75" s="4"/>
      <c r="L75" s="4"/>
    </row>
    <row r="76" spans="2:12" x14ac:dyDescent="0.35">
      <c r="B76" s="8"/>
      <c r="H76" s="7"/>
      <c r="I76" s="7"/>
      <c r="J76" s="7"/>
      <c r="K76" s="4"/>
      <c r="L76" s="4"/>
    </row>
    <row r="77" spans="2:12" x14ac:dyDescent="0.35">
      <c r="B77" s="8"/>
      <c r="H77" s="7"/>
      <c r="I77" s="7"/>
      <c r="J77" s="7"/>
      <c r="K77" s="4"/>
      <c r="L77" s="4"/>
    </row>
    <row r="78" spans="2:12" x14ac:dyDescent="0.35">
      <c r="B78" s="8"/>
      <c r="H78" s="7"/>
      <c r="I78" s="7"/>
      <c r="J78" s="7"/>
      <c r="K78" s="4"/>
      <c r="L78" s="4"/>
    </row>
    <row r="79" spans="2:12" x14ac:dyDescent="0.35">
      <c r="B79" s="8"/>
      <c r="H79" s="7"/>
      <c r="I79" s="7"/>
      <c r="J79" s="7"/>
      <c r="K79" s="4"/>
      <c r="L79" s="4"/>
    </row>
    <row r="80" spans="2:12" x14ac:dyDescent="0.35">
      <c r="B80" s="8"/>
      <c r="H80" s="7"/>
      <c r="I80" s="7"/>
      <c r="J80" s="7"/>
      <c r="K80" s="4"/>
      <c r="L80" s="4"/>
    </row>
    <row r="81" spans="2:12" x14ac:dyDescent="0.35">
      <c r="B81" s="8"/>
      <c r="H81" s="7"/>
      <c r="I81" s="7"/>
      <c r="J81" s="7"/>
      <c r="K81" s="4"/>
      <c r="L81" s="4"/>
    </row>
    <row r="82" spans="2:12" x14ac:dyDescent="0.35">
      <c r="B82" s="8"/>
      <c r="H82" s="7"/>
      <c r="I82" s="7"/>
      <c r="J82" s="7"/>
      <c r="K82" s="4"/>
      <c r="L82" s="4"/>
    </row>
    <row r="83" spans="2:12" x14ac:dyDescent="0.35">
      <c r="B83" s="8"/>
      <c r="H83" s="7"/>
      <c r="I83" s="7"/>
      <c r="J83" s="7"/>
      <c r="K83" s="4"/>
      <c r="L83" s="4"/>
    </row>
    <row r="84" spans="2:12" x14ac:dyDescent="0.35">
      <c r="B84" s="8"/>
      <c r="H84" s="7"/>
      <c r="I84" s="7"/>
      <c r="J84" s="7"/>
      <c r="K84" s="4"/>
      <c r="L84" s="4"/>
    </row>
    <row r="85" spans="2:12" x14ac:dyDescent="0.35">
      <c r="B85" s="8"/>
      <c r="H85" s="7"/>
      <c r="I85" s="7"/>
      <c r="J85" s="7"/>
      <c r="K85" s="4"/>
      <c r="L85" s="4"/>
    </row>
    <row r="86" spans="2:12" x14ac:dyDescent="0.35">
      <c r="B86" s="8"/>
      <c r="H86" s="7"/>
      <c r="I86" s="7"/>
      <c r="J86" s="7"/>
      <c r="K86" s="4"/>
      <c r="L86" s="4"/>
    </row>
    <row r="87" spans="2:12" x14ac:dyDescent="0.35">
      <c r="B87" s="8"/>
      <c r="H87" s="7"/>
      <c r="I87" s="7"/>
      <c r="J87" s="7"/>
      <c r="K87" s="4"/>
      <c r="L87" s="4"/>
    </row>
    <row r="88" spans="2:12" x14ac:dyDescent="0.35">
      <c r="B88" s="8"/>
      <c r="H88" s="7"/>
      <c r="I88" s="7"/>
      <c r="J88" s="7"/>
      <c r="K88" s="4"/>
      <c r="L88" s="4"/>
    </row>
    <row r="89" spans="2:12" x14ac:dyDescent="0.35">
      <c r="B89" s="8"/>
      <c r="H89" s="7"/>
      <c r="I89" s="7"/>
      <c r="J89" s="7"/>
      <c r="K89" s="4"/>
      <c r="L89" s="4"/>
    </row>
    <row r="90" spans="2:12" x14ac:dyDescent="0.35">
      <c r="B90" s="8"/>
      <c r="H90" s="7"/>
      <c r="I90" s="7"/>
      <c r="J90" s="7"/>
      <c r="K90" s="4"/>
      <c r="L90" s="4"/>
    </row>
    <row r="91" spans="2:12" x14ac:dyDescent="0.35">
      <c r="B91" s="8"/>
      <c r="H91" s="7"/>
      <c r="I91" s="7"/>
      <c r="J91" s="7"/>
      <c r="K91" s="4"/>
      <c r="L91" s="4"/>
    </row>
    <row r="92" spans="2:12" x14ac:dyDescent="0.35">
      <c r="B92" s="8"/>
      <c r="H92" s="7"/>
      <c r="I92" s="7"/>
      <c r="J92" s="7"/>
      <c r="K92" s="4"/>
      <c r="L92" s="4"/>
    </row>
    <row r="93" spans="2:12" x14ac:dyDescent="0.35">
      <c r="B93" s="8"/>
      <c r="H93" s="7"/>
      <c r="I93" s="7"/>
      <c r="J93" s="7"/>
      <c r="K93" s="4"/>
      <c r="L93" s="4"/>
    </row>
    <row r="94" spans="2:12" x14ac:dyDescent="0.35">
      <c r="B94" s="8"/>
      <c r="H94" s="7"/>
      <c r="I94" s="7"/>
      <c r="J94" s="7"/>
      <c r="K94" s="4"/>
      <c r="L94" s="4"/>
    </row>
    <row r="95" spans="2:12" x14ac:dyDescent="0.35">
      <c r="B95" s="8"/>
      <c r="H95" s="7"/>
      <c r="I95" s="7"/>
      <c r="J95" s="7"/>
      <c r="K95" s="4"/>
      <c r="L95" s="4"/>
    </row>
    <row r="96" spans="2:12" x14ac:dyDescent="0.35">
      <c r="B96" s="8"/>
      <c r="H96" s="7"/>
      <c r="I96" s="7"/>
      <c r="J96" s="7"/>
      <c r="K96" s="4"/>
      <c r="L96" s="4"/>
    </row>
    <row r="97" spans="2:12" x14ac:dyDescent="0.35">
      <c r="B97" s="8"/>
      <c r="H97" s="7"/>
      <c r="I97" s="7"/>
      <c r="J97" s="7"/>
      <c r="K97" s="4"/>
      <c r="L97" s="4"/>
    </row>
    <row r="98" spans="2:12" x14ac:dyDescent="0.35">
      <c r="B98" s="8"/>
      <c r="H98" s="7"/>
      <c r="I98" s="7"/>
      <c r="J98" s="7"/>
      <c r="K98" s="4"/>
      <c r="L98" s="4"/>
    </row>
    <row r="99" spans="2:12" x14ac:dyDescent="0.35">
      <c r="B99" s="8"/>
      <c r="H99" s="7"/>
      <c r="I99" s="7"/>
      <c r="J99" s="7"/>
      <c r="K99" s="4"/>
      <c r="L99" s="4"/>
    </row>
    <row r="100" spans="2:12" x14ac:dyDescent="0.35">
      <c r="B100" s="8"/>
      <c r="H100" s="7"/>
      <c r="I100" s="7"/>
      <c r="J100" s="7"/>
      <c r="K100" s="4"/>
      <c r="L100" s="4"/>
    </row>
    <row r="101" spans="2:12" x14ac:dyDescent="0.35">
      <c r="B101" s="8"/>
      <c r="H101" s="7"/>
      <c r="I101" s="7"/>
      <c r="J101" s="7"/>
      <c r="K101" s="4"/>
      <c r="L101" s="4"/>
    </row>
    <row r="102" spans="2:12" x14ac:dyDescent="0.35">
      <c r="B102" s="8"/>
      <c r="H102" s="7"/>
      <c r="I102" s="7"/>
      <c r="J102" s="7"/>
      <c r="K102" s="4"/>
      <c r="L102" s="4"/>
    </row>
    <row r="103" spans="2:12" x14ac:dyDescent="0.35">
      <c r="B103" s="8"/>
      <c r="H103" s="7"/>
      <c r="I103" s="7"/>
      <c r="J103" s="7"/>
      <c r="K103" s="4"/>
      <c r="L103" s="4"/>
    </row>
    <row r="104" spans="2:12" x14ac:dyDescent="0.35">
      <c r="B104" s="8"/>
      <c r="H104" s="7"/>
      <c r="I104" s="7"/>
      <c r="J104" s="7"/>
      <c r="K104" s="4"/>
      <c r="L104" s="4"/>
    </row>
    <row r="105" spans="2:12" x14ac:dyDescent="0.35">
      <c r="B105" s="8"/>
      <c r="H105" s="7"/>
      <c r="I105" s="7"/>
      <c r="J105" s="7"/>
      <c r="K105" s="4"/>
      <c r="L105" s="4"/>
    </row>
    <row r="106" spans="2:12" x14ac:dyDescent="0.35">
      <c r="B106" s="8"/>
      <c r="H106" s="7"/>
      <c r="I106" s="7"/>
      <c r="J106" s="7"/>
      <c r="K106" s="4"/>
      <c r="L106" s="4"/>
    </row>
    <row r="107" spans="2:12" x14ac:dyDescent="0.35">
      <c r="B107" s="8"/>
      <c r="H107" s="7"/>
      <c r="I107" s="7"/>
      <c r="J107" s="7"/>
      <c r="K107" s="4"/>
      <c r="L107" s="4"/>
    </row>
    <row r="108" spans="2:12" x14ac:dyDescent="0.35">
      <c r="B108" s="8"/>
      <c r="H108" s="7"/>
      <c r="I108" s="7"/>
      <c r="J108" s="7"/>
      <c r="K108" s="4"/>
      <c r="L108" s="4"/>
    </row>
  </sheetData>
  <mergeCells count="1">
    <mergeCell ref="D2:G2"/>
  </mergeCells>
  <pageMargins left="0.70866141732283472" right="0.70866141732283472" top="0.74803149606299213" bottom="0.74803149606299213" header="0.31496062992125984" footer="0.31496062992125984"/>
  <pageSetup paperSize="8" scale="86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Ducts and Cyclones</vt:lpstr>
      <vt:lpstr>Heat Exchanger</vt:lpstr>
      <vt:lpstr>Tank</vt:lpstr>
      <vt:lpstr>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Hassanzadeh</dc:creator>
  <cp:lastModifiedBy>Microtec.Process</cp:lastModifiedBy>
  <cp:lastPrinted>2026-02-20T09:35:20Z</cp:lastPrinted>
  <dcterms:created xsi:type="dcterms:W3CDTF">2023-12-19T04:06:04Z</dcterms:created>
  <dcterms:modified xsi:type="dcterms:W3CDTF">2026-04-18T17:01:43Z</dcterms:modified>
</cp:coreProperties>
</file>